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tabRatio="296" activeTab="0"/>
  </bookViews>
  <sheets>
    <sheet name="дод. 11 " sheetId="1" r:id="rId1"/>
  </sheets>
  <definedNames>
    <definedName name="_xlfn.AGGREGATE" hidden="1">#NAME?</definedName>
    <definedName name="_xlnm.Print_Titles" localSheetId="0">'дод. 11 '!$5:$7</definedName>
  </definedNames>
  <calcPr fullCalcOnLoad="1"/>
</workbook>
</file>

<file path=xl/comments1.xml><?xml version="1.0" encoding="utf-8"?>
<comments xmlns="http://schemas.openxmlformats.org/spreadsheetml/2006/main">
  <authors>
    <author>smirnova</author>
    <author>fmg3</author>
  </authors>
  <commentList>
    <comment ref="I72" authorId="0">
      <text>
        <r>
          <rPr>
            <b/>
            <sz val="9"/>
            <rFont val="Tahoma"/>
            <family val="2"/>
          </rPr>
          <t>передбачено корм та вакцинація, стерилізація, евтаназія</t>
        </r>
        <r>
          <rPr>
            <sz val="9"/>
            <rFont val="Tahoma"/>
            <family val="2"/>
          </rPr>
          <t xml:space="preserve">
</t>
        </r>
      </text>
    </comment>
    <comment ref="D104" authorId="1">
      <text>
        <r>
          <rPr>
            <b/>
            <sz val="9"/>
            <rFont val="Tahoma"/>
            <family val="2"/>
          </rPr>
          <t>fmg3: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<sst xmlns="http://schemas.openxmlformats.org/spreadsheetml/2006/main" count="278" uniqueCount="248">
  <si>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</si>
  <si>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</si>
  <si>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</si>
  <si>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</si>
  <si>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</si>
  <si>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</si>
  <si>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</si>
  <si>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</si>
  <si>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</si>
  <si>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</si>
  <si>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</si>
  <si>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</si>
  <si>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</si>
  <si>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</si>
  <si>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</si>
  <si>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</si>
  <si>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</si>
  <si>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</si>
  <si>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</si>
  <si>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</si>
  <si>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</si>
  <si>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</si>
  <si>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</si>
  <si>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1.35</t>
  </si>
  <si>
    <t>1.36</t>
  </si>
  <si>
    <t>1.37</t>
  </si>
  <si>
    <t>1.38</t>
  </si>
  <si>
    <t>2.</t>
  </si>
  <si>
    <t>3.</t>
  </si>
  <si>
    <t>1.</t>
  </si>
  <si>
    <t>4.</t>
  </si>
  <si>
    <t>5.</t>
  </si>
  <si>
    <t>3.4</t>
  </si>
  <si>
    <t>3.5</t>
  </si>
  <si>
    <t>3.6</t>
  </si>
  <si>
    <t>3.7</t>
  </si>
  <si>
    <t>3.8</t>
  </si>
  <si>
    <t>3.9</t>
  </si>
  <si>
    <t>3.10</t>
  </si>
  <si>
    <t>3.11</t>
  </si>
  <si>
    <t xml:space="preserve">оплата електроенергії фонтанів </t>
  </si>
  <si>
    <t>% виконання</t>
  </si>
  <si>
    <t>Пропозиції на 2016 рік згідно бюджетного запиту  департаменту ЖКК</t>
  </si>
  <si>
    <t>Виконання за 2014 рік</t>
  </si>
  <si>
    <t>Виконання за 2015 рік</t>
  </si>
  <si>
    <t>Одиниця виміру</t>
  </si>
  <si>
    <t xml:space="preserve">Затверджено по бюджету на 2016 рік </t>
  </si>
  <si>
    <t xml:space="preserve">Уточнений план на 30.10.2016 року </t>
  </si>
  <si>
    <t xml:space="preserve">Загальний фонд </t>
  </si>
  <si>
    <t xml:space="preserve">Спеціальний фонд </t>
  </si>
  <si>
    <t>із них</t>
  </si>
  <si>
    <t>Розрахунок потреби в коштах  ДФП на 2017 рік-10% від уточненого плану на 01.11.2016 року</t>
  </si>
  <si>
    <t>Додаткова потреба в коштах при зміні розміру мін зарплати до 3200 грн.</t>
  </si>
  <si>
    <t>Профінансовано на 01.11.2016 року</t>
  </si>
  <si>
    <t>%</t>
  </si>
  <si>
    <t>Потреба згідно бюджетних запитів</t>
  </si>
  <si>
    <t>% потреби в коштах  проти уточненого плану на 01.11.2016 року</t>
  </si>
  <si>
    <t>Збільшення потреби в коштах проти уточненеого плану на 01.11.2016 року (без врахування останніх змін 25.10.2016 року)</t>
  </si>
  <si>
    <t xml:space="preserve">Примітка </t>
  </si>
  <si>
    <t>(грн.)</t>
  </si>
  <si>
    <t>№ п/п</t>
  </si>
  <si>
    <t>НАПРЯМКИ ВИДАТКІВ</t>
  </si>
  <si>
    <t xml:space="preserve">БЛАГОУСТРІЙ МІСТА </t>
  </si>
  <si>
    <t>Організація роботи інженерного облаштування вуличнно-дорожньої мережі, в т.ч.:</t>
  </si>
  <si>
    <t>х</t>
  </si>
  <si>
    <t>поточний ремонт   мереж зовнішнього освітлення</t>
  </si>
  <si>
    <t>врахована потреба</t>
  </si>
  <si>
    <t>оплата  електроенергії на освітлення міста</t>
  </si>
  <si>
    <t>розрахунок по електроенргії (врахована потреба)</t>
  </si>
  <si>
    <t>послуги балансоутримувача , які мають надаватись при проведенні поточних ремонтів мереж зовнішнього освітлення  підрядною організацією</t>
  </si>
  <si>
    <t>розрахунки КП "Міськсвітло"</t>
  </si>
  <si>
    <t xml:space="preserve">оплата електроенергїї світлофорних об'єктів </t>
  </si>
  <si>
    <t>Забезпечення належного утримання зелених насаджень , в т.ч.:</t>
  </si>
  <si>
    <t>5.6</t>
  </si>
  <si>
    <t>комплексне косіння зелених зон</t>
  </si>
  <si>
    <t>придбання та встановлення кашпо, лавок з урнами</t>
  </si>
  <si>
    <t>утримання газонів на бульварі Шевченка</t>
  </si>
  <si>
    <t>екологія</t>
  </si>
  <si>
    <t xml:space="preserve">утримання зелених насаджень 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</si>
  <si>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</si>
  <si>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>інвентаризація зелених насаджень</t>
  </si>
  <si>
    <t>Догляд за малими архітектурними формами та створення нових, в т.ч.</t>
  </si>
  <si>
    <t>5.4</t>
  </si>
  <si>
    <t xml:space="preserve">обслуговування  міських фонтанів </t>
  </si>
  <si>
    <t>розрахунки КП "Черкасиводоканал"</t>
  </si>
  <si>
    <t xml:space="preserve">оплата   водопостачання та водовідведення фонтанів </t>
  </si>
  <si>
    <t>4.4</t>
  </si>
  <si>
    <t xml:space="preserve">Організація та утримання місць поховань, в т.ч.: </t>
  </si>
  <si>
    <t xml:space="preserve"> утримання та лікування безпритульних тварин, що знаходяться у комунальних притулках (харчування, лікування, прибирання) (фінансова підтримка КП "Черкаська служба чистоти")</t>
  </si>
  <si>
    <t>Розрахунки КП "ЧСЧ"</t>
  </si>
  <si>
    <r>
      <rPr>
        <i/>
        <sz val="14"/>
        <rFont val="Times New Roman"/>
        <family val="1"/>
      </rPr>
      <t xml:space="preserve">послуги  пульта управління  зовнішнім освітленням міста </t>
    </r>
    <r>
      <rPr>
        <sz val="14"/>
        <rFont val="Times New Roman"/>
        <family val="1"/>
      </rPr>
      <t xml:space="preserve"> (фінансова підтримка КП "Міськсвітло")</t>
    </r>
  </si>
  <si>
    <t xml:space="preserve">літнє утримання доріг(очищення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тиску) </t>
  </si>
  <si>
    <t>зимове утримання  доріг (очищення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</t>
  </si>
  <si>
    <t>1.8</t>
  </si>
  <si>
    <t>5.5</t>
  </si>
  <si>
    <t>Збереження пам'ятників культурної та історичної спадщини, в т.ч.:</t>
  </si>
  <si>
    <t>Капітальний ремонт житлового фонду об'єднань співвласників багатоквартирних будинків</t>
  </si>
  <si>
    <t>бюджет розвитку</t>
  </si>
  <si>
    <t>Разом видатків на поточний рік</t>
  </si>
  <si>
    <t>1.2</t>
  </si>
  <si>
    <t>1.3</t>
  </si>
  <si>
    <t>1.4</t>
  </si>
  <si>
    <t>1.5</t>
  </si>
  <si>
    <t>2.1</t>
  </si>
  <si>
    <t>3.1</t>
  </si>
  <si>
    <t>3.2</t>
  </si>
  <si>
    <t>3.3</t>
  </si>
  <si>
    <t>4.1</t>
  </si>
  <si>
    <t>4.2</t>
  </si>
  <si>
    <t>4.3</t>
  </si>
  <si>
    <t>ВСЬОГО ВИДАТКІВ</t>
  </si>
  <si>
    <t>№з/п</t>
  </si>
  <si>
    <t xml:space="preserve">Передбачено новою програмою по благоустрою </t>
  </si>
  <si>
    <t>Уточнений план на  2015 рік</t>
  </si>
  <si>
    <t>Касові видатки 2015</t>
  </si>
  <si>
    <t>в т.ч. кредиторська заборгованість на 01.01.2015</t>
  </si>
  <si>
    <t xml:space="preserve">Касові видатки 2015р. (без врахування кредиторської заборгованості на 01.01.2015 - 6397,2 тис.грн. )  </t>
  </si>
  <si>
    <t xml:space="preserve">відсутні розрахунки КП ККП" </t>
  </si>
  <si>
    <t>5.2</t>
  </si>
  <si>
    <t xml:space="preserve">утримання  міських кладовищ (фінансова підтримка КП "Комбінат комунальних підприємств")  </t>
  </si>
  <si>
    <t>оплата водопостачання кладовищ</t>
  </si>
  <si>
    <t>оплата електроенергії кладовищ</t>
  </si>
  <si>
    <t xml:space="preserve">поховання та транспортування   до моргу на судмедекспертизу одиноких померлих та безрідних громадян  (фінансова підтримка КП "Комбінат комунальних підприємств") </t>
  </si>
  <si>
    <t>Забезпечення чистоти міста , в т.ч.:</t>
  </si>
  <si>
    <t>4.6</t>
  </si>
  <si>
    <t>5.3</t>
  </si>
  <si>
    <t>утримання площ, скверів  та бульвару Шевченка та Пагорба Слави</t>
  </si>
  <si>
    <t>відсутня потреба ДЖКК</t>
  </si>
  <si>
    <t>4.7</t>
  </si>
  <si>
    <t>утримання зелених зон</t>
  </si>
  <si>
    <t>виготовлення та затвердження Схеми санітарного очищення</t>
  </si>
  <si>
    <t>придбання пластикових контейнерів для збору ТПВ</t>
  </si>
  <si>
    <t>4,8</t>
  </si>
  <si>
    <t>1.6</t>
  </si>
  <si>
    <t>5.1</t>
  </si>
  <si>
    <t xml:space="preserve">Організація місць відпочинку на комунальних пляжах міста </t>
  </si>
  <si>
    <t>4.9</t>
  </si>
  <si>
    <t>1.7</t>
  </si>
  <si>
    <t>5.7</t>
  </si>
  <si>
    <t>Утримання та розвиток парків та скверів міста, в т.ч.:</t>
  </si>
  <si>
    <t>розрахунки КП "Дирекція парків"</t>
  </si>
  <si>
    <t xml:space="preserve">утримання зелени насаджень </t>
  </si>
  <si>
    <t>прибирання доріжок</t>
  </si>
  <si>
    <t>4.10</t>
  </si>
  <si>
    <t>Утримання  міських доріг, в т.ч.:</t>
  </si>
  <si>
    <t>Програма дороги</t>
  </si>
  <si>
    <t>1.1</t>
  </si>
  <si>
    <t>ЗАБЕЗПЕЧЕННЯ ФУНКЦІОНУВАННЯ КОМБІНАТІВ КОМУНАЛЬНИХ ПІДПРИЄМСТВ, РАЙОННИХ ВИРОБНИЧИХ ОБ'ЄДНАНЬ ТА ІНШИХ ПІДПРИЄМСТВ, УСТАНОВ ТА ОРГАНІЗАЦІЙ ЖИТЛОВО-КОМУНАЛЬНОГО ГОСПОДАРСТВА</t>
  </si>
  <si>
    <t>4.21</t>
  </si>
  <si>
    <t>Поводження з безпритульними тваринами, в т.ч.:</t>
  </si>
  <si>
    <t xml:space="preserve">поточний ремонт меморіального комплексу "Пагорб Слави" </t>
  </si>
  <si>
    <t xml:space="preserve">ремонт  та утримання інших пам'яток історичної та культурної спадщини </t>
  </si>
  <si>
    <t>4.11</t>
  </si>
  <si>
    <t>1.9</t>
  </si>
  <si>
    <t>Утримання мереж зливової каналізації, в т.ч.:</t>
  </si>
  <si>
    <t>відсутні розрахунки по світлофорах, по зливовій каналізації</t>
  </si>
  <si>
    <t>5.8</t>
  </si>
  <si>
    <t>водовідведення від накопичувальних басейнів</t>
  </si>
  <si>
    <t>оплата електроенергії для  роботи насосних станцій</t>
  </si>
  <si>
    <t>4.13</t>
  </si>
  <si>
    <t>1.10</t>
  </si>
  <si>
    <t>Прикрашання міста до новорічних свят</t>
  </si>
  <si>
    <t xml:space="preserve">відсутні розрахунки </t>
  </si>
  <si>
    <t xml:space="preserve">4.14 </t>
  </si>
  <si>
    <t>1.11</t>
  </si>
  <si>
    <t>Утримання питних фонтанчиків</t>
  </si>
  <si>
    <t>4.15</t>
  </si>
  <si>
    <t>2.12</t>
  </si>
  <si>
    <t>6</t>
  </si>
  <si>
    <t>Фінансова підтримка  КП "Черкасиводоканал" на виконання    рішень судів  (на користь ПАТ "Азот")</t>
  </si>
  <si>
    <t>4.16</t>
  </si>
  <si>
    <t>2.13</t>
  </si>
  <si>
    <t>Фінансова підтримка КП "Черкаське експлуатаційне лінійне управлінняґ автомобільних шляхів" на погашення заборгованості із заробітної плати</t>
  </si>
  <si>
    <t>4.17</t>
  </si>
  <si>
    <t>2.14</t>
  </si>
  <si>
    <t>Фінансова підтримка КП "ЧЕЛУАШ" на погашеня кредиторської заборгованості по рішеннямсуду</t>
  </si>
  <si>
    <t>4.18</t>
  </si>
  <si>
    <t>2.15</t>
  </si>
  <si>
    <t>4.3, 6</t>
  </si>
  <si>
    <t xml:space="preserve">Фінансова підтримка на проведення  поточного ремонту  міжбудинкових пішохідних доріжок та  прибудинкових територій житлових  будинків </t>
  </si>
  <si>
    <t>КП "Служба утримання будинків "Митниця"</t>
  </si>
  <si>
    <t>КП "Соснівська служба утримання будинків "</t>
  </si>
  <si>
    <t>КП "Придніпровська  служба утримання будинків "</t>
  </si>
  <si>
    <t xml:space="preserve"> ЗАХОДИ ПОВ'ЯЗАНІ З ПОЛІПШЕННЯМ ПИТНОЇ ВОДИ </t>
  </si>
  <si>
    <t>зменшено на 10 відс.</t>
  </si>
  <si>
    <t>Дослідження питної води з нецентралізованих джерел водопостачання</t>
  </si>
  <si>
    <t>Капітальний ремонт житлового  будинку по вул. Різдвяна,21 (внутрішньобудинкові мережі електропостачання)</t>
  </si>
  <si>
    <t>Капітальний ремонт житлового  будинку 14/1 по вул. Нечуя Левицького (внутрішньобудинкові мережі електропостачання)</t>
  </si>
  <si>
    <t>Надання співфінансування ОСББ  на виконання капітальних ремонтів:
'-енергозберігаючі заходи;
'-інші види робіт (покрівлі, інженерні мережі і т.п.)</t>
  </si>
  <si>
    <t>Капітальний ремонт житлового фонду</t>
  </si>
  <si>
    <t xml:space="preserve"> Капітальний ремонт житлового фонду міської комунальної власності (капітальний ремонт ліфтів):
 - капітальний ремонт ліфтів поточного року;
 - експертне обстеження ліфтів поточного року.</t>
  </si>
  <si>
    <t>Капітальний ремонт житлового будинку 9 по вул. Чорновола (внутрішньобудинкових мереж опалення)</t>
  </si>
  <si>
    <t>ВИДАТКИ НА ЖИТЛОВО-КОМУНАЛЬНЕ ГОСПОДАРСТВО ЗА РАХУНОК КОШТІВ МІСЬКОГО БЮДЖЕТУ У 2017 РОЦІ</t>
  </si>
  <si>
    <t>параметризація приладів обліку (фінансова підтримка КП " Міськсвітло")</t>
  </si>
  <si>
    <t>Капітальний ремонт спортивного майданчику за адресою: вул. С. Амброса, 147 (з ПКД)</t>
  </si>
  <si>
    <t>Капітальний ремонт  житлового будинку по вул. Надпільна,214 (демонтаж димової труби котельні  житлового будинку)</t>
  </si>
  <si>
    <t>Капітальний ремонт житлового будинку 9 по вул. Чорновола (система холодного та гарячого водопостачання та водовідведення)</t>
  </si>
  <si>
    <t>Капітальний ремонт житлового будинку 7 по вул. Чорновола (система холодного та гарячого водопостачання та водовідведення)</t>
  </si>
  <si>
    <t>Капітальний ремонт житлового будинку по вул. Смілянська,128</t>
  </si>
  <si>
    <t>Капітальний ремонт житлового будинку по вул. Пастерівській ,11 (мережі теплопостачання), з ПКД</t>
  </si>
  <si>
    <t>Капітальний ремонт житлових будинків (дах, покрівля у 156 будинках)</t>
  </si>
  <si>
    <t>Капітальний ремонт житлового будинку по вул. В.Чорновола, 162/3 (капітальний ремонт даху) (з ПКД)</t>
  </si>
  <si>
    <t>Капітальний ремонт житлового будинку по бульв. Шевченка, 276 (покрівля та підвальні приміщення)</t>
  </si>
  <si>
    <t>Капітальний ремонт житлового будинку № 14/2 по вул. Хоменка (покрівля)</t>
  </si>
  <si>
    <t>Капітальний ремонт житлового будинку по вул.Різдвяна, 56 (ремонт перекриття  та мереж електропостачання), в т.ч. ПКД</t>
  </si>
  <si>
    <t>Капітальний ремонт житлового  будинку по вул. Волкова 75, (внутрішньобудинкові мережі електропостачання)</t>
  </si>
  <si>
    <t>Капітальний ремонт житлового  будинку по вул. Волкова, 95 (внутрішньобудинкові мережі електропостачання)</t>
  </si>
  <si>
    <t>Капітальний ремонт житлового  будинку по вул. Волкова,101 (внутрішньобудинкові мережі електропостачання)</t>
  </si>
  <si>
    <t>Капітальний ремонт житлового  будинку по вул. Різдвяна,4 (внутрішньобудинкові мережі електропостачання)</t>
  </si>
  <si>
    <t>Капітальний ремонт житлового будинку №115 по вул. Нижня Горова (заміна вікон)</t>
  </si>
  <si>
    <t>Капітальний ремонт житлового будинку №164 по вул. Нижня Горова (заміна вікон)</t>
  </si>
  <si>
    <t>Капітальний ремонт житлового будинку №168 по вул. Нижня Горова (заміна вікон)</t>
  </si>
  <si>
    <t>Капітальний ремонт житлового будинку №50 по вул. Толстого (заміна вікон)</t>
  </si>
  <si>
    <t>Капітальний ремонт житлового будинку №76 по вул. Толстого (заміна вікон)</t>
  </si>
  <si>
    <t>Капітальний ремонт житлового будинку №78 по вул. Толстого (заміна вікон)</t>
  </si>
  <si>
    <t>Капітальний ремонт житлового будинку №9а по вул. Чехова (заміна вікон)</t>
  </si>
  <si>
    <t>Капітальний ремонт житлового будинку №43 по вул. Різдвяна (заміна вікон)</t>
  </si>
  <si>
    <t>Капітальний ремонт житлового будинку №57 по вул. Різдвяна (заміна вікон)</t>
  </si>
  <si>
    <t>Капітальний ремонт житлового будинку №57/1 по вул. Різдвяна (заміна вікон)</t>
  </si>
  <si>
    <t>в тому числі за рахунок субвенції з обласного бюджету на преміювання переможців обласного конкурсу з благоустрою населених пунктів області "Територія комфорту"</t>
  </si>
  <si>
    <t>придбання інвентарю для пляжів і утримання пляжів (фінансова підтримка КП "Дирекція парків")</t>
  </si>
  <si>
    <t>поточний ремонт Берегоукріплення мікрорайону "Митниця" -1 черга (фінансова підтримка КП "Дирекція парків")</t>
  </si>
  <si>
    <t>ЗАБЕЗПЕЧЕННЯ ФУНКЦІОНУВАННЯ ВОДОПРОВІДНО-КАНАЛІЗАЦІЙНОГО ГОСПОДАРСТВА</t>
  </si>
  <si>
    <t>6.1</t>
  </si>
  <si>
    <t>Фінансова підтримка КП "Черкасиводоканал" на погашення заборгованості по кредитних зобов'язаннях, гарантом яких виступає Черкаська міська рада (тіло кредиту)</t>
  </si>
  <si>
    <t>3.12</t>
  </si>
  <si>
    <t>Капітальний ремонт житлового будинку №43/1 по вул. Різдвяна (заміна вікон)</t>
  </si>
  <si>
    <t>Капітальний ремонт житлового будинку №6 по вул. Юрія Іллєнка (заміна вікон)</t>
  </si>
  <si>
    <t>Капітальний ремонт житлового будинку №103 по вул. Нижня Горова (інженерні мережі)</t>
  </si>
  <si>
    <t>Капітальний ремонт житлового будинку №105 по вул. Нижня Горова (інженерні мережі)</t>
  </si>
  <si>
    <t>Капітальний ремонт житлового будинку №164 по вул. Нижня Горова (інженерні мережі)</t>
  </si>
  <si>
    <t>Капітальний ремонт житлового будинку №168 по вул. Нижня Горова (інженерні мережі)</t>
  </si>
  <si>
    <t>Капітальний ремонт житлового будинку № 50 по вул. Толстого (інженерні мережі)</t>
  </si>
  <si>
    <t>Капітальний ремонт житлового будинку № 76 по вул. Толстого (інженерні мережі)</t>
  </si>
  <si>
    <t>Капітальний ремонт житлового будинку № 78 по вул. Толстого (інженерні мережі)</t>
  </si>
  <si>
    <t>утримання зелених насаджень та зелених зон; прибирання доріжок та алей; утримання та оновлення майна парків та скверів (фінансова підтримка КП "Дирекція парків")  (фінансова підтримка КП "Дирекція парків")</t>
  </si>
  <si>
    <t>придбання  контейнерів для збору ТПВ</t>
  </si>
  <si>
    <t>Профінансовано на 16.06.2017</t>
  </si>
  <si>
    <t xml:space="preserve">в т.ч. водопостачання та водовідведення  </t>
  </si>
  <si>
    <t>Фінансова підтримка КП "Соснівська СУБ" на проведення поточного ремонту міжбудинкових пішохідних доріжок та прибудинкових територій житлових будинків (вул.Ярославська,22- 119838,00 грн., вул.С.Кішки ,183-93848,40 грн., вул.Чайковського ,44 - 58243,20 грн., вул.Гагаріна,21-11796,00 грн.;вул.Г.Момота,5 - 126403,20 вул.Г.Момота ,7 -126402,00 грн., вул.Г.Момота ,9 -130305,60 грн).</t>
  </si>
  <si>
    <t>Капітальний ремонт житлового будинку №99 по вул. М.Залізняка (заміна водопідігрівача)</t>
  </si>
  <si>
    <t>1.39</t>
  </si>
  <si>
    <t>Капітальний ремонт житлового будинку №99 по вул.Смілянська ,88 (заміна водопідігрівача)</t>
  </si>
  <si>
    <t>1.40</t>
  </si>
  <si>
    <t>Капітальний ремонт житлового будинку по бульв. Шевченка ,132 (утеплення фасаду зі стороени бул.Шевченка з 1 по 4 під'їзд)</t>
  </si>
  <si>
    <t>1.41</t>
  </si>
  <si>
    <t xml:space="preserve">Технічне (експертне) обстеження житлового будинку по узвозу Замковому,1 </t>
  </si>
  <si>
    <t>1.42</t>
  </si>
</sst>
</file>

<file path=xl/styles.xml><?xml version="1.0" encoding="utf-8"?>
<styleSheet xmlns="http://schemas.openxmlformats.org/spreadsheetml/2006/main">
  <numFmts count="5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.00\ _г_р_н_._-;\-* #,##0.00\ _г_р_н_._-;_-* &quot;-&quot;??\ _г_р_н_._-;_-@_-"/>
    <numFmt numFmtId="173" formatCode="* #,##0;* \-#,##0;* &quot;-&quot;;@"/>
    <numFmt numFmtId="174" formatCode="* #,##0.00;* \-#,##0.00;* &quot;-&quot;??;@"/>
    <numFmt numFmtId="175" formatCode="* _-#,##0&quot;р.&quot;;* \-#,##0&quot;р.&quot;;* _-&quot;-&quot;&quot;р.&quot;;@"/>
    <numFmt numFmtId="176" formatCode="* _-#,##0.00&quot;р.&quot;;* \-#,##0.00&quot;р.&quot;;* _-&quot;-&quot;??&quot;р.&quot;;@"/>
    <numFmt numFmtId="177" formatCode="#,##0.0"/>
    <numFmt numFmtId="178" formatCode="0.0"/>
    <numFmt numFmtId="179" formatCode="#,##0.00000"/>
    <numFmt numFmtId="180" formatCode="0.000"/>
    <numFmt numFmtId="181" formatCode="0.0%"/>
    <numFmt numFmtId="182" formatCode="#,##0.000"/>
    <numFmt numFmtId="183" formatCode="#,##0.00_р_."/>
    <numFmt numFmtId="184" formatCode="#,##0.00\ _г_р_н_."/>
    <numFmt numFmtId="185" formatCode="#,##0\ &quot;₽&quot;;\-#,##0\ &quot;₽&quot;"/>
    <numFmt numFmtId="186" formatCode="#,##0\ &quot;₽&quot;;[Red]\-#,##0\ &quot;₽&quot;"/>
    <numFmt numFmtId="187" formatCode="#,##0.00\ &quot;₽&quot;;\-#,##0.00\ &quot;₽&quot;"/>
    <numFmt numFmtId="188" formatCode="#,##0.00\ &quot;₽&quot;;[Red]\-#,##0.00\ &quot;₽&quot;"/>
    <numFmt numFmtId="189" formatCode="_-* #,##0\ &quot;₽&quot;_-;\-* #,##0\ &quot;₽&quot;_-;_-* &quot;-&quot;\ &quot;₽&quot;_-;_-@_-"/>
    <numFmt numFmtId="190" formatCode="_-* #,##0\ _₽_-;\-* #,##0\ _₽_-;_-* &quot;-&quot;\ _₽_-;_-@_-"/>
    <numFmt numFmtId="191" formatCode="_-* #,##0.00\ &quot;₽&quot;_-;\-* #,##0.00\ &quot;₽&quot;_-;_-* &quot;-&quot;??\ &quot;₽&quot;_-;_-@_-"/>
    <numFmt numFmtId="192" formatCode="_-* #,##0.00\ _₽_-;\-* #,##0.00\ _₽_-;_-* &quot;-&quot;??\ _₽_-;_-@_-"/>
    <numFmt numFmtId="193" formatCode="#,##0\ &quot;грн.&quot;;\-#,##0\ &quot;грн.&quot;"/>
    <numFmt numFmtId="194" formatCode="#,##0\ &quot;грн.&quot;;[Red]\-#,##0\ &quot;грн.&quot;"/>
    <numFmt numFmtId="195" formatCode="#,##0.00\ &quot;грн.&quot;;\-#,##0.00\ &quot;грн.&quot;"/>
    <numFmt numFmtId="196" formatCode="#,##0.00\ &quot;грн.&quot;;[Red]\-#,##0.00\ &quot;грн.&quot;"/>
    <numFmt numFmtId="197" formatCode="_-* #,##0\ &quot;грн.&quot;_-;\-* #,##0\ &quot;грн.&quot;_-;_-* &quot;-&quot;\ &quot;грн.&quot;_-;_-@_-"/>
    <numFmt numFmtId="198" formatCode="_-* #,##0\ _г_р_н_._-;\-* #,##0\ _г_р_н_._-;_-* &quot;-&quot;\ _г_р_н_._-;_-@_-"/>
    <numFmt numFmtId="199" formatCode="_-* #,##0.00\ &quot;грн.&quot;_-;\-* #,##0.00\ &quot;грн.&quot;_-;_-* &quot;-&quot;??\ &quot;грн.&quot;_-;_-@_-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#,##0.0000"/>
    <numFmt numFmtId="205" formatCode="#,##0.0\ _г_р_н_."/>
    <numFmt numFmtId="206" formatCode="[$-FC19]d\ mmmm\ yyyy\ &quot;г.&quot;"/>
    <numFmt numFmtId="207" formatCode="dd/mm/yy;@"/>
    <numFmt numFmtId="208" formatCode="mmm/yyyy"/>
    <numFmt numFmtId="209" formatCode="000000"/>
  </numFmts>
  <fonts count="53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i/>
      <sz val="10"/>
      <color indexed="8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sz val="14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b/>
      <i/>
      <sz val="12"/>
      <name val="Times New Roman"/>
      <family val="1"/>
    </font>
    <font>
      <i/>
      <sz val="16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b/>
      <sz val="8"/>
      <name val="Times New Roman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3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21" fillId="0" borderId="0">
      <alignment/>
      <protection/>
    </xf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7" fillId="7" borderId="1" applyNumberFormat="0" applyAlignment="0" applyProtection="0"/>
    <xf numFmtId="0" fontId="8" fillId="24" borderId="2" applyNumberFormat="0" applyAlignment="0" applyProtection="0"/>
    <xf numFmtId="0" fontId="15" fillId="24" borderId="1" applyNumberFormat="0" applyAlignment="0" applyProtection="0"/>
    <xf numFmtId="0" fontId="23" fillId="0" borderId="0" applyNumberFormat="0" applyFill="0" applyBorder="0" applyAlignment="0" applyProtection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4" fillId="0" borderId="0">
      <alignment/>
      <protection/>
    </xf>
    <xf numFmtId="0" fontId="12" fillId="0" borderId="6" applyNumberFormat="0" applyFill="0" applyAlignment="0" applyProtection="0"/>
    <xf numFmtId="0" fontId="10" fillId="25" borderId="7" applyNumberFormat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50" fillId="26" borderId="1" applyNumberFormat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1" fillId="0" borderId="0">
      <alignment/>
      <protection/>
    </xf>
    <xf numFmtId="0" fontId="14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5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10" borderId="9" applyNumberFormat="0" applyFont="0" applyAlignment="0" applyProtection="0"/>
    <xf numFmtId="0" fontId="0" fillId="10" borderId="9" applyNumberFormat="0" applyFont="0" applyAlignment="0" applyProtection="0"/>
    <xf numFmtId="176" fontId="1" fillId="0" borderId="0" applyFont="0" applyFill="0" applyBorder="0" applyAlignment="0" applyProtection="0"/>
    <xf numFmtId="0" fontId="8" fillId="26" borderId="2" applyNumberFormat="0" applyAlignment="0" applyProtection="0"/>
    <xf numFmtId="0" fontId="18" fillId="0" borderId="10" applyNumberFormat="0" applyFill="0" applyAlignment="0" applyProtection="0"/>
    <xf numFmtId="0" fontId="51" fillId="13" borderId="0" applyNumberFormat="0" applyBorder="0" applyAlignment="0" applyProtection="0"/>
    <xf numFmtId="0" fontId="20" fillId="0" borderId="0">
      <alignment/>
      <protection/>
    </xf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1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29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32" fillId="0" borderId="0" xfId="0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 wrapText="1"/>
    </xf>
    <xf numFmtId="0" fontId="35" fillId="0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29" fillId="0" borderId="0" xfId="0" applyFont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wrapText="1"/>
    </xf>
    <xf numFmtId="0" fontId="35" fillId="0" borderId="11" xfId="0" applyFont="1" applyFill="1" applyBorder="1" applyAlignment="1">
      <alignment horizontal="center" wrapText="1"/>
    </xf>
    <xf numFmtId="0" fontId="29" fillId="0" borderId="13" xfId="0" applyFont="1" applyBorder="1" applyAlignment="1">
      <alignment/>
    </xf>
    <xf numFmtId="0" fontId="34" fillId="0" borderId="11" xfId="0" applyFont="1" applyFill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 wrapText="1"/>
    </xf>
    <xf numFmtId="0" fontId="36" fillId="0" borderId="11" xfId="0" applyFont="1" applyFill="1" applyBorder="1" applyAlignment="1">
      <alignment horizontal="center" wrapText="1"/>
    </xf>
    <xf numFmtId="0" fontId="19" fillId="0" borderId="11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0" fillId="0" borderId="11" xfId="0" applyBorder="1" applyAlignment="1">
      <alignment/>
    </xf>
    <xf numFmtId="1" fontId="32" fillId="27" borderId="11" xfId="0" applyNumberFormat="1" applyFont="1" applyFill="1" applyBorder="1" applyAlignment="1">
      <alignment horizontal="center"/>
    </xf>
    <xf numFmtId="1" fontId="32" fillId="27" borderId="11" xfId="0" applyNumberFormat="1" applyFont="1" applyFill="1" applyBorder="1" applyAlignment="1">
      <alignment horizontal="center" vertical="center"/>
    </xf>
    <xf numFmtId="0" fontId="32" fillId="27" borderId="11" xfId="0" applyFont="1" applyFill="1" applyBorder="1" applyAlignment="1">
      <alignment horizontal="left" vertical="center" wrapText="1"/>
    </xf>
    <xf numFmtId="0" fontId="32" fillId="27" borderId="11" xfId="0" applyFont="1" applyFill="1" applyBorder="1" applyAlignment="1">
      <alignment horizontal="center" wrapText="1"/>
    </xf>
    <xf numFmtId="0" fontId="35" fillId="27" borderId="11" xfId="0" applyFont="1" applyFill="1" applyBorder="1" applyAlignment="1">
      <alignment horizontal="center" wrapText="1"/>
    </xf>
    <xf numFmtId="0" fontId="32" fillId="27" borderId="11" xfId="0" applyFont="1" applyFill="1" applyBorder="1" applyAlignment="1">
      <alignment horizontal="center" vertical="center" wrapText="1"/>
    </xf>
    <xf numFmtId="183" fontId="32" fillId="7" borderId="11" xfId="0" applyNumberFormat="1" applyFont="1" applyFill="1" applyBorder="1" applyAlignment="1">
      <alignment horizontal="center" vertical="center" wrapText="1"/>
    </xf>
    <xf numFmtId="4" fontId="32" fillId="27" borderId="11" xfId="0" applyNumberFormat="1" applyFont="1" applyFill="1" applyBorder="1" applyAlignment="1">
      <alignment horizontal="center" vertical="center" wrapText="1"/>
    </xf>
    <xf numFmtId="183" fontId="32" fillId="27" borderId="11" xfId="0" applyNumberFormat="1" applyFont="1" applyFill="1" applyBorder="1" applyAlignment="1">
      <alignment horizontal="center" vertical="center" wrapText="1"/>
    </xf>
    <xf numFmtId="184" fontId="32" fillId="27" borderId="11" xfId="0" applyNumberFormat="1" applyFont="1" applyFill="1" applyBorder="1" applyAlignment="1">
      <alignment horizontal="center" vertical="center" wrapText="1"/>
    </xf>
    <xf numFmtId="178" fontId="29" fillId="27" borderId="11" xfId="0" applyNumberFormat="1" applyFont="1" applyFill="1" applyBorder="1" applyAlignment="1">
      <alignment horizontal="center"/>
    </xf>
    <xf numFmtId="2" fontId="29" fillId="27" borderId="11" xfId="0" applyNumberFormat="1" applyFont="1" applyFill="1" applyBorder="1" applyAlignment="1">
      <alignment horizontal="center" wrapText="1"/>
    </xf>
    <xf numFmtId="0" fontId="0" fillId="27" borderId="11" xfId="0" applyFill="1" applyBorder="1" applyAlignment="1">
      <alignment/>
    </xf>
    <xf numFmtId="49" fontId="32" fillId="0" borderId="11" xfId="0" applyNumberFormat="1" applyFont="1" applyBorder="1" applyAlignment="1">
      <alignment horizontal="center"/>
    </xf>
    <xf numFmtId="49" fontId="32" fillId="10" borderId="11" xfId="0" applyNumberFormat="1" applyFont="1" applyFill="1" applyBorder="1" applyAlignment="1">
      <alignment horizontal="center" vertical="center"/>
    </xf>
    <xf numFmtId="49" fontId="33" fillId="0" borderId="11" xfId="0" applyNumberFormat="1" applyFont="1" applyBorder="1" applyAlignment="1">
      <alignment horizontal="center"/>
    </xf>
    <xf numFmtId="49" fontId="32" fillId="0" borderId="11" xfId="0" applyNumberFormat="1" applyFont="1" applyBorder="1" applyAlignment="1">
      <alignment horizontal="center" vertical="center"/>
    </xf>
    <xf numFmtId="0" fontId="37" fillId="0" borderId="11" xfId="0" applyFont="1" applyFill="1" applyBorder="1" applyAlignment="1">
      <alignment horizontal="left" wrapText="1"/>
    </xf>
    <xf numFmtId="177" fontId="33" fillId="0" borderId="11" xfId="0" applyNumberFormat="1" applyFont="1" applyBorder="1" applyAlignment="1">
      <alignment horizontal="center" vertical="center" wrapText="1"/>
    </xf>
    <xf numFmtId="177" fontId="33" fillId="0" borderId="11" xfId="0" applyNumberFormat="1" applyFont="1" applyFill="1" applyBorder="1" applyAlignment="1">
      <alignment horizontal="center" vertical="center" wrapText="1"/>
    </xf>
    <xf numFmtId="177" fontId="37" fillId="0" borderId="11" xfId="0" applyNumberFormat="1" applyFont="1" applyFill="1" applyBorder="1" applyAlignment="1">
      <alignment horizontal="center" vertical="center" wrapText="1"/>
    </xf>
    <xf numFmtId="184" fontId="37" fillId="0" borderId="11" xfId="0" applyNumberFormat="1" applyFont="1" applyFill="1" applyBorder="1" applyAlignment="1">
      <alignment horizontal="center" vertical="center" wrapText="1"/>
    </xf>
    <xf numFmtId="4" fontId="37" fillId="0" borderId="11" xfId="0" applyNumberFormat="1" applyFont="1" applyFill="1" applyBorder="1" applyAlignment="1">
      <alignment horizontal="center" vertical="center" wrapText="1"/>
    </xf>
    <xf numFmtId="183" fontId="37" fillId="26" borderId="11" xfId="0" applyNumberFormat="1" applyFont="1" applyFill="1" applyBorder="1" applyAlignment="1">
      <alignment horizontal="left" vertical="center" wrapText="1"/>
    </xf>
    <xf numFmtId="0" fontId="30" fillId="0" borderId="11" xfId="0" applyFont="1" applyBorder="1" applyAlignment="1">
      <alignment/>
    </xf>
    <xf numFmtId="178" fontId="38" fillId="0" borderId="11" xfId="0" applyNumberFormat="1" applyFont="1" applyBorder="1" applyAlignment="1">
      <alignment horizontal="center"/>
    </xf>
    <xf numFmtId="4" fontId="38" fillId="0" borderId="11" xfId="0" applyNumberFormat="1" applyFont="1" applyBorder="1" applyAlignment="1">
      <alignment horizontal="center" vertical="center"/>
    </xf>
    <xf numFmtId="183" fontId="35" fillId="26" borderId="11" xfId="0" applyNumberFormat="1" applyFont="1" applyFill="1" applyBorder="1" applyAlignment="1">
      <alignment horizontal="center" vertical="center" wrapText="1"/>
    </xf>
    <xf numFmtId="2" fontId="39" fillId="26" borderId="11" xfId="0" applyNumberFormat="1" applyFont="1" applyFill="1" applyBorder="1" applyAlignment="1">
      <alignment horizontal="center" wrapText="1"/>
    </xf>
    <xf numFmtId="0" fontId="38" fillId="0" borderId="11" xfId="0" applyFont="1" applyBorder="1" applyAlignment="1">
      <alignment/>
    </xf>
    <xf numFmtId="0" fontId="38" fillId="0" borderId="11" xfId="0" applyFont="1" applyBorder="1" applyAlignment="1">
      <alignment wrapText="1"/>
    </xf>
    <xf numFmtId="4" fontId="38" fillId="0" borderId="11" xfId="0" applyNumberFormat="1" applyFont="1" applyBorder="1" applyAlignment="1">
      <alignment horizontal="center" vertical="center" wrapText="1"/>
    </xf>
    <xf numFmtId="0" fontId="37" fillId="26" borderId="11" xfId="0" applyFont="1" applyFill="1" applyBorder="1" applyAlignment="1">
      <alignment horizontal="left" wrapText="1"/>
    </xf>
    <xf numFmtId="177" fontId="33" fillId="26" borderId="11" xfId="0" applyNumberFormat="1" applyFont="1" applyFill="1" applyBorder="1" applyAlignment="1">
      <alignment horizontal="center" vertical="center" wrapText="1"/>
    </xf>
    <xf numFmtId="177" fontId="37" fillId="26" borderId="11" xfId="0" applyNumberFormat="1" applyFont="1" applyFill="1" applyBorder="1" applyAlignment="1">
      <alignment horizontal="center" vertical="center" wrapText="1"/>
    </xf>
    <xf numFmtId="4" fontId="37" fillId="26" borderId="11" xfId="0" applyNumberFormat="1" applyFont="1" applyFill="1" applyBorder="1" applyAlignment="1">
      <alignment horizontal="center" vertical="center" wrapText="1"/>
    </xf>
    <xf numFmtId="4" fontId="38" fillId="26" borderId="11" xfId="0" applyNumberFormat="1" applyFont="1" applyFill="1" applyBorder="1" applyAlignment="1">
      <alignment horizontal="center" vertical="center"/>
    </xf>
    <xf numFmtId="2" fontId="39" fillId="28" borderId="11" xfId="0" applyNumberFormat="1" applyFont="1" applyFill="1" applyBorder="1" applyAlignment="1">
      <alignment horizontal="center" wrapText="1"/>
    </xf>
    <xf numFmtId="0" fontId="30" fillId="26" borderId="11" xfId="113" applyFont="1" applyFill="1" applyBorder="1" applyAlignment="1">
      <alignment horizontal="left" wrapText="1"/>
      <protection/>
    </xf>
    <xf numFmtId="184" fontId="37" fillId="26" borderId="11" xfId="0" applyNumberFormat="1" applyFont="1" applyFill="1" applyBorder="1" applyAlignment="1">
      <alignment horizontal="center" vertical="center" wrapText="1"/>
    </xf>
    <xf numFmtId="0" fontId="30" fillId="26" borderId="11" xfId="0" applyFont="1" applyFill="1" applyBorder="1" applyAlignment="1">
      <alignment/>
    </xf>
    <xf numFmtId="178" fontId="38" fillId="26" borderId="11" xfId="0" applyNumberFormat="1" applyFont="1" applyFill="1" applyBorder="1" applyAlignment="1">
      <alignment horizontal="center" vertical="center"/>
    </xf>
    <xf numFmtId="4" fontId="33" fillId="26" borderId="11" xfId="0" applyNumberFormat="1" applyFont="1" applyFill="1" applyBorder="1" applyAlignment="1">
      <alignment horizontal="center" vertical="center" wrapText="1"/>
    </xf>
    <xf numFmtId="184" fontId="33" fillId="26" borderId="11" xfId="0" applyNumberFormat="1" applyFont="1" applyFill="1" applyBorder="1" applyAlignment="1">
      <alignment horizontal="center" vertical="center" wrapText="1"/>
    </xf>
    <xf numFmtId="183" fontId="37" fillId="26" borderId="11" xfId="0" applyNumberFormat="1" applyFont="1" applyFill="1" applyBorder="1" applyAlignment="1">
      <alignment horizontal="center" vertical="center" wrapText="1"/>
    </xf>
    <xf numFmtId="0" fontId="38" fillId="26" borderId="11" xfId="0" applyFont="1" applyFill="1" applyBorder="1" applyAlignment="1">
      <alignment/>
    </xf>
    <xf numFmtId="178" fontId="38" fillId="26" borderId="11" xfId="0" applyNumberFormat="1" applyFont="1" applyFill="1" applyBorder="1" applyAlignment="1">
      <alignment horizontal="center"/>
    </xf>
    <xf numFmtId="0" fontId="38" fillId="26" borderId="11" xfId="0" applyFont="1" applyFill="1" applyBorder="1" applyAlignment="1">
      <alignment horizontal="left" wrapText="1"/>
    </xf>
    <xf numFmtId="182" fontId="37" fillId="26" borderId="11" xfId="0" applyNumberFormat="1" applyFont="1" applyFill="1" applyBorder="1" applyAlignment="1">
      <alignment horizontal="center" vertical="center" wrapText="1"/>
    </xf>
    <xf numFmtId="2" fontId="38" fillId="26" borderId="11" xfId="0" applyNumberFormat="1" applyFont="1" applyFill="1" applyBorder="1" applyAlignment="1">
      <alignment horizontal="left"/>
    </xf>
    <xf numFmtId="177" fontId="32" fillId="26" borderId="11" xfId="0" applyNumberFormat="1" applyFont="1" applyFill="1" applyBorder="1" applyAlignment="1">
      <alignment horizontal="center" vertical="center" wrapText="1"/>
    </xf>
    <xf numFmtId="183" fontId="32" fillId="26" borderId="11" xfId="0" applyNumberFormat="1" applyFont="1" applyFill="1" applyBorder="1" applyAlignment="1">
      <alignment horizontal="center" vertical="center" wrapText="1"/>
    </xf>
    <xf numFmtId="178" fontId="30" fillId="26" borderId="11" xfId="0" applyNumberFormat="1" applyFont="1" applyFill="1" applyBorder="1" applyAlignment="1">
      <alignment horizontal="center"/>
    </xf>
    <xf numFmtId="2" fontId="29" fillId="26" borderId="11" xfId="0" applyNumberFormat="1" applyFont="1" applyFill="1" applyBorder="1" applyAlignment="1">
      <alignment horizontal="center" wrapText="1"/>
    </xf>
    <xf numFmtId="0" fontId="38" fillId="26" borderId="11" xfId="113" applyFont="1" applyFill="1" applyBorder="1" applyAlignment="1">
      <alignment horizontal="left" wrapText="1"/>
      <protection/>
    </xf>
    <xf numFmtId="0" fontId="40" fillId="26" borderId="11" xfId="0" applyFont="1" applyFill="1" applyBorder="1" applyAlignment="1">
      <alignment/>
    </xf>
    <xf numFmtId="2" fontId="28" fillId="26" borderId="11" xfId="0" applyNumberFormat="1" applyFont="1" applyFill="1" applyBorder="1" applyAlignment="1">
      <alignment horizontal="center"/>
    </xf>
    <xf numFmtId="2" fontId="38" fillId="26" borderId="11" xfId="0" applyNumberFormat="1" applyFont="1" applyFill="1" applyBorder="1" applyAlignment="1">
      <alignment horizontal="center" wrapText="1"/>
    </xf>
    <xf numFmtId="0" fontId="40" fillId="0" borderId="11" xfId="0" applyFont="1" applyBorder="1" applyAlignment="1">
      <alignment/>
    </xf>
    <xf numFmtId="4" fontId="32" fillId="26" borderId="11" xfId="0" applyNumberFormat="1" applyFont="1" applyFill="1" applyBorder="1" applyAlignment="1">
      <alignment horizontal="center" vertical="center" wrapText="1"/>
    </xf>
    <xf numFmtId="182" fontId="33" fillId="26" borderId="11" xfId="0" applyNumberFormat="1" applyFont="1" applyFill="1" applyBorder="1" applyAlignment="1">
      <alignment horizontal="center" vertical="center" wrapText="1"/>
    </xf>
    <xf numFmtId="184" fontId="32" fillId="26" borderId="11" xfId="0" applyNumberFormat="1" applyFont="1" applyFill="1" applyBorder="1" applyAlignment="1">
      <alignment horizontal="center" vertical="center" wrapText="1"/>
    </xf>
    <xf numFmtId="0" fontId="33" fillId="26" borderId="11" xfId="0" applyFont="1" applyFill="1" applyBorder="1" applyAlignment="1">
      <alignment horizontal="left" wrapText="1"/>
    </xf>
    <xf numFmtId="0" fontId="41" fillId="26" borderId="11" xfId="0" applyFont="1" applyFill="1" applyBorder="1" applyAlignment="1">
      <alignment horizontal="left" wrapText="1"/>
    </xf>
    <xf numFmtId="4" fontId="28" fillId="26" borderId="11" xfId="0" applyNumberFormat="1" applyFont="1" applyFill="1" applyBorder="1" applyAlignment="1">
      <alignment horizontal="center"/>
    </xf>
    <xf numFmtId="0" fontId="0" fillId="26" borderId="11" xfId="0" applyFont="1" applyFill="1" applyBorder="1" applyAlignment="1">
      <alignment/>
    </xf>
    <xf numFmtId="183" fontId="33" fillId="26" borderId="11" xfId="0" applyNumberFormat="1" applyFont="1" applyFill="1" applyBorder="1" applyAlignment="1">
      <alignment horizontal="center" vertical="center" wrapText="1"/>
    </xf>
    <xf numFmtId="4" fontId="41" fillId="26" borderId="11" xfId="0" applyNumberFormat="1" applyFont="1" applyFill="1" applyBorder="1" applyAlignment="1">
      <alignment horizontal="center" vertical="center" wrapText="1"/>
    </xf>
    <xf numFmtId="4" fontId="30" fillId="0" borderId="11" xfId="0" applyNumberFormat="1" applyFont="1" applyBorder="1" applyAlignment="1">
      <alignment horizontal="center" vertical="center"/>
    </xf>
    <xf numFmtId="49" fontId="32" fillId="20" borderId="11" xfId="0" applyNumberFormat="1" applyFont="1" applyFill="1" applyBorder="1" applyAlignment="1">
      <alignment horizontal="center" vertical="center"/>
    </xf>
    <xf numFmtId="0" fontId="0" fillId="26" borderId="0" xfId="0" applyFill="1" applyAlignment="1">
      <alignment/>
    </xf>
    <xf numFmtId="4" fontId="0" fillId="0" borderId="0" xfId="0" applyNumberFormat="1" applyAlignment="1">
      <alignment/>
    </xf>
    <xf numFmtId="0" fontId="42" fillId="26" borderId="11" xfId="0" applyFont="1" applyFill="1" applyBorder="1" applyAlignment="1">
      <alignment/>
    </xf>
    <xf numFmtId="183" fontId="37" fillId="26" borderId="11" xfId="0" applyNumberFormat="1" applyFont="1" applyFill="1" applyBorder="1" applyAlignment="1">
      <alignment horizontal="center"/>
    </xf>
    <xf numFmtId="183" fontId="37" fillId="26" borderId="11" xfId="0" applyNumberFormat="1" applyFont="1" applyFill="1" applyBorder="1" applyAlignment="1">
      <alignment horizontal="left"/>
    </xf>
    <xf numFmtId="4" fontId="38" fillId="26" borderId="11" xfId="0" applyNumberFormat="1" applyFont="1" applyFill="1" applyBorder="1" applyAlignment="1">
      <alignment horizontal="center" vertical="center" wrapText="1"/>
    </xf>
    <xf numFmtId="184" fontId="30" fillId="26" borderId="11" xfId="0" applyNumberFormat="1" applyFont="1" applyFill="1" applyBorder="1" applyAlignment="1">
      <alignment horizontal="center"/>
    </xf>
    <xf numFmtId="0" fontId="32" fillId="7" borderId="11" xfId="0" applyFont="1" applyFill="1" applyBorder="1" applyAlignment="1">
      <alignment horizontal="center" vertical="center" wrapText="1"/>
    </xf>
    <xf numFmtId="184" fontId="32" fillId="7" borderId="11" xfId="0" applyNumberFormat="1" applyFont="1" applyFill="1" applyBorder="1" applyAlignment="1">
      <alignment horizontal="center" vertical="center" wrapText="1"/>
    </xf>
    <xf numFmtId="4" fontId="29" fillId="27" borderId="11" xfId="0" applyNumberFormat="1" applyFont="1" applyFill="1" applyBorder="1" applyAlignment="1">
      <alignment horizontal="center" vertical="center"/>
    </xf>
    <xf numFmtId="49" fontId="32" fillId="26" borderId="11" xfId="0" applyNumberFormat="1" applyFont="1" applyFill="1" applyBorder="1" applyAlignment="1">
      <alignment horizontal="center" vertical="center"/>
    </xf>
    <xf numFmtId="0" fontId="32" fillId="13" borderId="11" xfId="0" applyFont="1" applyFill="1" applyBorder="1" applyAlignment="1">
      <alignment horizontal="center" vertical="center" wrapText="1"/>
    </xf>
    <xf numFmtId="2" fontId="32" fillId="26" borderId="11" xfId="0" applyNumberFormat="1" applyFont="1" applyFill="1" applyBorder="1" applyAlignment="1">
      <alignment horizontal="center" vertical="center" wrapText="1"/>
    </xf>
    <xf numFmtId="184" fontId="32" fillId="0" borderId="11" xfId="0" applyNumberFormat="1" applyFont="1" applyFill="1" applyBorder="1" applyAlignment="1">
      <alignment horizontal="center" vertical="center" wrapText="1"/>
    </xf>
    <xf numFmtId="4" fontId="32" fillId="0" borderId="11" xfId="0" applyNumberFormat="1" applyFont="1" applyFill="1" applyBorder="1" applyAlignment="1">
      <alignment horizontal="center" vertical="center" wrapText="1"/>
    </xf>
    <xf numFmtId="178" fontId="30" fillId="0" borderId="11" xfId="0" applyNumberFormat="1" applyFont="1" applyBorder="1" applyAlignment="1">
      <alignment horizontal="center"/>
    </xf>
    <xf numFmtId="4" fontId="29" fillId="0" borderId="11" xfId="0" applyNumberFormat="1" applyFont="1" applyBorder="1" applyAlignment="1">
      <alignment horizontal="center" vertical="center"/>
    </xf>
    <xf numFmtId="49" fontId="32" fillId="27" borderId="11" xfId="0" applyNumberFormat="1" applyFont="1" applyFill="1" applyBorder="1" applyAlignment="1">
      <alignment horizontal="center"/>
    </xf>
    <xf numFmtId="49" fontId="32" fillId="27" borderId="11" xfId="0" applyNumberFormat="1" applyFont="1" applyFill="1" applyBorder="1" applyAlignment="1">
      <alignment horizontal="center" vertical="center"/>
    </xf>
    <xf numFmtId="0" fontId="32" fillId="27" borderId="11" xfId="0" applyFont="1" applyFill="1" applyBorder="1" applyAlignment="1">
      <alignment horizontal="left" wrapText="1"/>
    </xf>
    <xf numFmtId="177" fontId="32" fillId="27" borderId="11" xfId="0" applyNumberFormat="1" applyFont="1" applyFill="1" applyBorder="1" applyAlignment="1">
      <alignment horizontal="center" vertical="center" wrapText="1"/>
    </xf>
    <xf numFmtId="4" fontId="37" fillId="27" borderId="11" xfId="0" applyNumberFormat="1" applyFont="1" applyFill="1" applyBorder="1" applyAlignment="1">
      <alignment horizontal="center" vertical="center" wrapText="1"/>
    </xf>
    <xf numFmtId="49" fontId="33" fillId="0" borderId="11" xfId="0" applyNumberFormat="1" applyFont="1" applyBorder="1" applyAlignment="1">
      <alignment horizontal="center" vertical="center"/>
    </xf>
    <xf numFmtId="4" fontId="28" fillId="26" borderId="11" xfId="0" applyNumberFormat="1" applyFont="1" applyFill="1" applyBorder="1" applyAlignment="1">
      <alignment horizontal="center" vertical="center"/>
    </xf>
    <xf numFmtId="0" fontId="33" fillId="26" borderId="11" xfId="0" applyFont="1" applyFill="1" applyBorder="1" applyAlignment="1">
      <alignment/>
    </xf>
    <xf numFmtId="0" fontId="33" fillId="26" borderId="11" xfId="0" applyFont="1" applyFill="1" applyBorder="1" applyAlignment="1">
      <alignment horizontal="center" vertical="center"/>
    </xf>
    <xf numFmtId="0" fontId="32" fillId="26" borderId="11" xfId="0" applyFont="1" applyFill="1" applyBorder="1" applyAlignment="1">
      <alignment horizontal="center" wrapText="1"/>
    </xf>
    <xf numFmtId="4" fontId="33" fillId="26" borderId="11" xfId="0" applyNumberFormat="1" applyFont="1" applyFill="1" applyBorder="1" applyAlignment="1">
      <alignment/>
    </xf>
    <xf numFmtId="0" fontId="0" fillId="12" borderId="0" xfId="0" applyFill="1" applyAlignment="1">
      <alignment/>
    </xf>
    <xf numFmtId="9" fontId="0" fillId="0" borderId="0" xfId="0" applyNumberFormat="1" applyAlignment="1">
      <alignment/>
    </xf>
    <xf numFmtId="0" fontId="0" fillId="26" borderId="0" xfId="0" applyFont="1" applyFill="1" applyAlignment="1">
      <alignment/>
    </xf>
    <xf numFmtId="0" fontId="30" fillId="0" borderId="11" xfId="0" applyFont="1" applyFill="1" applyBorder="1" applyAlignment="1">
      <alignment vertical="top" wrapText="1"/>
    </xf>
    <xf numFmtId="4" fontId="30" fillId="0" borderId="11" xfId="0" applyNumberFormat="1" applyFont="1" applyFill="1" applyBorder="1" applyAlignment="1">
      <alignment horizontal="center" vertical="center"/>
    </xf>
    <xf numFmtId="4" fontId="30" fillId="0" borderId="11" xfId="0" applyNumberFormat="1" applyFont="1" applyFill="1" applyBorder="1" applyAlignment="1">
      <alignment horizontal="center" vertical="center" wrapText="1"/>
    </xf>
    <xf numFmtId="4" fontId="30" fillId="0" borderId="11" xfId="112" applyNumberFormat="1" applyFont="1" applyFill="1" applyBorder="1" applyAlignment="1">
      <alignment horizontal="center" vertical="center"/>
      <protection/>
    </xf>
    <xf numFmtId="0" fontId="30" fillId="0" borderId="11" xfId="111" applyFont="1" applyFill="1" applyBorder="1" applyAlignment="1">
      <alignment vertical="top" wrapText="1"/>
      <protection/>
    </xf>
    <xf numFmtId="49" fontId="30" fillId="0" borderId="12" xfId="0" applyNumberFormat="1" applyFont="1" applyFill="1" applyBorder="1" applyAlignment="1">
      <alignment vertical="top" wrapText="1"/>
    </xf>
    <xf numFmtId="0" fontId="19" fillId="0" borderId="11" xfId="0" applyFont="1" applyBorder="1" applyAlignment="1">
      <alignment horizontal="center" vertical="center" wrapText="1"/>
    </xf>
    <xf numFmtId="0" fontId="19" fillId="26" borderId="12" xfId="0" applyFont="1" applyFill="1" applyBorder="1" applyAlignment="1">
      <alignment horizontal="center" wrapText="1"/>
    </xf>
    <xf numFmtId="0" fontId="26" fillId="0" borderId="11" xfId="0" applyFont="1" applyBorder="1" applyAlignment="1">
      <alignment/>
    </xf>
    <xf numFmtId="0" fontId="29" fillId="0" borderId="0" xfId="0" applyFont="1" applyBorder="1" applyAlignment="1">
      <alignment horizontal="center"/>
    </xf>
    <xf numFmtId="0" fontId="29" fillId="0" borderId="13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26" borderId="11" xfId="0" applyFill="1" applyBorder="1" applyAlignment="1">
      <alignment/>
    </xf>
    <xf numFmtId="0" fontId="30" fillId="27" borderId="11" xfId="0" applyFont="1" applyFill="1" applyBorder="1" applyAlignment="1">
      <alignment/>
    </xf>
    <xf numFmtId="0" fontId="36" fillId="0" borderId="11" xfId="0" applyFont="1" applyFill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/>
    </xf>
    <xf numFmtId="0" fontId="45" fillId="0" borderId="14" xfId="0" applyFont="1" applyBorder="1" applyAlignment="1">
      <alignment horizontal="center"/>
    </xf>
    <xf numFmtId="0" fontId="45" fillId="0" borderId="15" xfId="0" applyFont="1" applyBorder="1" applyAlignment="1">
      <alignment horizontal="center"/>
    </xf>
    <xf numFmtId="0" fontId="45" fillId="0" borderId="11" xfId="0" applyFont="1" applyFill="1" applyBorder="1" applyAlignment="1">
      <alignment horizontal="center"/>
    </xf>
    <xf numFmtId="0" fontId="45" fillId="26" borderId="12" xfId="0" applyFont="1" applyFill="1" applyBorder="1" applyAlignment="1">
      <alignment horizontal="center" wrapText="1"/>
    </xf>
    <xf numFmtId="0" fontId="28" fillId="0" borderId="11" xfId="0" applyFont="1" applyBorder="1" applyAlignment="1">
      <alignment/>
    </xf>
    <xf numFmtId="0" fontId="39" fillId="0" borderId="13" xfId="0" applyFont="1" applyBorder="1" applyAlignment="1">
      <alignment horizontal="center" vertical="center"/>
    </xf>
    <xf numFmtId="0" fontId="40" fillId="0" borderId="0" xfId="0" applyFont="1" applyAlignment="1">
      <alignment/>
    </xf>
    <xf numFmtId="4" fontId="29" fillId="0" borderId="13" xfId="0" applyNumberFormat="1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49" fontId="31" fillId="0" borderId="13" xfId="0" applyNumberFormat="1" applyFont="1" applyFill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left" vertical="center" wrapText="1"/>
    </xf>
    <xf numFmtId="4" fontId="30" fillId="0" borderId="13" xfId="0" applyNumberFormat="1" applyFont="1" applyBorder="1" applyAlignment="1">
      <alignment horizontal="center" vertical="center"/>
    </xf>
    <xf numFmtId="4" fontId="29" fillId="27" borderId="13" xfId="0" applyNumberFormat="1" applyFont="1" applyFill="1" applyBorder="1" applyAlignment="1">
      <alignment horizontal="center" vertical="center" wrapText="1"/>
    </xf>
    <xf numFmtId="0" fontId="32" fillId="27" borderId="13" xfId="0" applyFont="1" applyFill="1" applyBorder="1" applyAlignment="1">
      <alignment horizontal="center" vertical="center" wrapText="1"/>
    </xf>
    <xf numFmtId="0" fontId="19" fillId="27" borderId="11" xfId="0" applyFont="1" applyFill="1" applyBorder="1" applyAlignment="1">
      <alignment horizontal="center" vertical="center" wrapText="1"/>
    </xf>
    <xf numFmtId="0" fontId="32" fillId="27" borderId="13" xfId="0" applyFont="1" applyFill="1" applyBorder="1" applyAlignment="1">
      <alignment horizontal="left" vertical="center" wrapText="1"/>
    </xf>
    <xf numFmtId="0" fontId="34" fillId="27" borderId="11" xfId="0" applyFont="1" applyFill="1" applyBorder="1" applyAlignment="1">
      <alignment horizontal="center" wrapText="1"/>
    </xf>
    <xf numFmtId="0" fontId="36" fillId="27" borderId="11" xfId="0" applyFont="1" applyFill="1" applyBorder="1" applyAlignment="1">
      <alignment horizontal="center" wrapText="1"/>
    </xf>
    <xf numFmtId="0" fontId="34" fillId="27" borderId="11" xfId="0" applyFont="1" applyFill="1" applyBorder="1" applyAlignment="1">
      <alignment horizontal="center" vertical="center" wrapText="1"/>
    </xf>
    <xf numFmtId="0" fontId="19" fillId="27" borderId="11" xfId="0" applyFont="1" applyFill="1" applyBorder="1" applyAlignment="1">
      <alignment horizontal="center"/>
    </xf>
    <xf numFmtId="0" fontId="19" fillId="27" borderId="14" xfId="0" applyFont="1" applyFill="1" applyBorder="1" applyAlignment="1">
      <alignment horizontal="center"/>
    </xf>
    <xf numFmtId="0" fontId="19" fillId="27" borderId="15" xfId="0" applyFont="1" applyFill="1" applyBorder="1" applyAlignment="1">
      <alignment horizontal="center"/>
    </xf>
    <xf numFmtId="0" fontId="19" fillId="27" borderId="12" xfId="0" applyFont="1" applyFill="1" applyBorder="1" applyAlignment="1">
      <alignment horizontal="center" wrapText="1"/>
    </xf>
    <xf numFmtId="0" fontId="26" fillId="27" borderId="11" xfId="0" applyFont="1" applyFill="1" applyBorder="1" applyAlignment="1">
      <alignment/>
    </xf>
    <xf numFmtId="0" fontId="29" fillId="27" borderId="13" xfId="0" applyFont="1" applyFill="1" applyBorder="1" applyAlignment="1">
      <alignment horizontal="center" vertical="center"/>
    </xf>
    <xf numFmtId="4" fontId="29" fillId="27" borderId="13" xfId="0" applyNumberFormat="1" applyFont="1" applyFill="1" applyBorder="1" applyAlignment="1">
      <alignment horizontal="center" vertical="center"/>
    </xf>
    <xf numFmtId="0" fontId="37" fillId="26" borderId="11" xfId="0" applyFont="1" applyFill="1" applyBorder="1" applyAlignment="1">
      <alignment horizontal="left" vertical="center" wrapText="1"/>
    </xf>
    <xf numFmtId="49" fontId="33" fillId="0" borderId="11" xfId="0" applyNumberFormat="1" applyFont="1" applyFill="1" applyBorder="1" applyAlignment="1">
      <alignment horizontal="center"/>
    </xf>
    <xf numFmtId="49" fontId="33" fillId="0" borderId="11" xfId="0" applyNumberFormat="1" applyFont="1" applyFill="1" applyBorder="1" applyAlignment="1">
      <alignment horizontal="center" vertical="center"/>
    </xf>
    <xf numFmtId="4" fontId="33" fillId="0" borderId="11" xfId="0" applyNumberFormat="1" applyFont="1" applyFill="1" applyBorder="1" applyAlignment="1">
      <alignment horizontal="center" vertical="center" wrapText="1"/>
    </xf>
    <xf numFmtId="184" fontId="33" fillId="0" borderId="11" xfId="0" applyNumberFormat="1" applyFont="1" applyFill="1" applyBorder="1" applyAlignment="1">
      <alignment horizontal="center" vertical="center" wrapText="1"/>
    </xf>
    <xf numFmtId="183" fontId="33" fillId="0" borderId="11" xfId="0" applyNumberFormat="1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/>
    </xf>
    <xf numFmtId="178" fontId="30" fillId="0" borderId="11" xfId="0" applyNumberFormat="1" applyFont="1" applyFill="1" applyBorder="1" applyAlignment="1">
      <alignment horizontal="center"/>
    </xf>
    <xf numFmtId="2" fontId="30" fillId="0" borderId="11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4" fontId="4" fillId="0" borderId="0" xfId="0" applyNumberFormat="1" applyFont="1" applyAlignment="1">
      <alignment/>
    </xf>
    <xf numFmtId="49" fontId="33" fillId="26" borderId="11" xfId="0" applyNumberFormat="1" applyFont="1" applyFill="1" applyBorder="1" applyAlignment="1">
      <alignment horizontal="center"/>
    </xf>
    <xf numFmtId="0" fontId="30" fillId="0" borderId="0" xfId="0" applyFont="1" applyAlignment="1">
      <alignment/>
    </xf>
    <xf numFmtId="0" fontId="29" fillId="0" borderId="0" xfId="0" applyFont="1" applyAlignment="1">
      <alignment/>
    </xf>
    <xf numFmtId="4" fontId="29" fillId="0" borderId="0" xfId="0" applyNumberFormat="1" applyFont="1" applyAlignment="1">
      <alignment/>
    </xf>
    <xf numFmtId="0" fontId="29" fillId="0" borderId="0" xfId="0" applyFont="1" applyBorder="1" applyAlignment="1">
      <alignment/>
    </xf>
    <xf numFmtId="0" fontId="29" fillId="0" borderId="0" xfId="0" applyFont="1" applyAlignment="1">
      <alignment horizontal="right"/>
    </xf>
    <xf numFmtId="182" fontId="32" fillId="26" borderId="11" xfId="0" applyNumberFormat="1" applyFont="1" applyFill="1" applyBorder="1" applyAlignment="1">
      <alignment horizontal="center" vertical="center" wrapText="1"/>
    </xf>
    <xf numFmtId="4" fontId="29" fillId="26" borderId="13" xfId="0" applyNumberFormat="1" applyFont="1" applyFill="1" applyBorder="1" applyAlignment="1">
      <alignment horizontal="center" vertical="center" wrapText="1"/>
    </xf>
    <xf numFmtId="4" fontId="29" fillId="26" borderId="11" xfId="0" applyNumberFormat="1" applyFont="1" applyFill="1" applyBorder="1" applyAlignment="1">
      <alignment horizontal="center" vertical="center"/>
    </xf>
    <xf numFmtId="0" fontId="29" fillId="27" borderId="11" xfId="0" applyFont="1" applyFill="1" applyBorder="1" applyAlignment="1">
      <alignment horizontal="center"/>
    </xf>
    <xf numFmtId="0" fontId="30" fillId="0" borderId="11" xfId="0" applyFont="1" applyBorder="1" applyAlignment="1">
      <alignment horizontal="center"/>
    </xf>
    <xf numFmtId="2" fontId="30" fillId="0" borderId="11" xfId="0" applyNumberFormat="1" applyFont="1" applyBorder="1" applyAlignment="1">
      <alignment horizontal="center"/>
    </xf>
    <xf numFmtId="2" fontId="30" fillId="0" borderId="11" xfId="0" applyNumberFormat="1" applyFont="1" applyFill="1" applyBorder="1" applyAlignment="1">
      <alignment horizontal="center"/>
    </xf>
    <xf numFmtId="178" fontId="29" fillId="0" borderId="11" xfId="0" applyNumberFormat="1" applyFont="1" applyBorder="1" applyAlignment="1">
      <alignment horizontal="center"/>
    </xf>
    <xf numFmtId="178" fontId="29" fillId="26" borderId="11" xfId="0" applyNumberFormat="1" applyFont="1" applyFill="1" applyBorder="1" applyAlignment="1">
      <alignment horizontal="center"/>
    </xf>
    <xf numFmtId="49" fontId="36" fillId="20" borderId="11" xfId="0" applyNumberFormat="1" applyFont="1" applyFill="1" applyBorder="1" applyAlignment="1">
      <alignment horizontal="center" vertical="center" wrapText="1"/>
    </xf>
    <xf numFmtId="4" fontId="38" fillId="0" borderId="13" xfId="0" applyNumberFormat="1" applyFont="1" applyBorder="1" applyAlignment="1">
      <alignment horizontal="center" vertical="center" wrapText="1"/>
    </xf>
    <xf numFmtId="0" fontId="37" fillId="26" borderId="11" xfId="0" applyNumberFormat="1" applyFont="1" applyFill="1" applyBorder="1" applyAlignment="1">
      <alignment horizontal="left" vertical="center" wrapText="1"/>
    </xf>
    <xf numFmtId="4" fontId="30" fillId="26" borderId="11" xfId="0" applyNumberFormat="1" applyFont="1" applyFill="1" applyBorder="1" applyAlignment="1">
      <alignment horizontal="center" vertical="center"/>
    </xf>
    <xf numFmtId="4" fontId="46" fillId="26" borderId="11" xfId="0" applyNumberFormat="1" applyFont="1" applyFill="1" applyBorder="1" applyAlignment="1">
      <alignment horizontal="center" vertical="center"/>
    </xf>
    <xf numFmtId="0" fontId="38" fillId="0" borderId="11" xfId="0" applyFont="1" applyBorder="1" applyAlignment="1">
      <alignment horizontal="center"/>
    </xf>
    <xf numFmtId="178" fontId="39" fillId="0" borderId="11" xfId="0" applyNumberFormat="1" applyFont="1" applyBorder="1" applyAlignment="1">
      <alignment horizontal="center"/>
    </xf>
    <xf numFmtId="2" fontId="38" fillId="26" borderId="11" xfId="0" applyNumberFormat="1" applyFont="1" applyFill="1" applyBorder="1" applyAlignment="1">
      <alignment horizontal="center"/>
    </xf>
    <xf numFmtId="0" fontId="38" fillId="26" borderId="11" xfId="0" applyFont="1" applyFill="1" applyBorder="1" applyAlignment="1">
      <alignment horizontal="center"/>
    </xf>
    <xf numFmtId="0" fontId="38" fillId="0" borderId="13" xfId="0" applyFont="1" applyBorder="1" applyAlignment="1">
      <alignment horizontal="center"/>
    </xf>
    <xf numFmtId="49" fontId="33" fillId="27" borderId="11" xfId="0" applyNumberFormat="1" applyFont="1" applyFill="1" applyBorder="1" applyAlignment="1">
      <alignment horizontal="center" vertical="center"/>
    </xf>
    <xf numFmtId="177" fontId="33" fillId="27" borderId="11" xfId="0" applyNumberFormat="1" applyFont="1" applyFill="1" applyBorder="1" applyAlignment="1">
      <alignment horizontal="center" vertical="center" wrapText="1"/>
    </xf>
    <xf numFmtId="183" fontId="37" fillId="27" borderId="11" xfId="0" applyNumberFormat="1" applyFont="1" applyFill="1" applyBorder="1" applyAlignment="1">
      <alignment horizontal="center" vertical="center" wrapText="1"/>
    </xf>
    <xf numFmtId="182" fontId="33" fillId="27" borderId="11" xfId="0" applyNumberFormat="1" applyFont="1" applyFill="1" applyBorder="1" applyAlignment="1">
      <alignment horizontal="center" vertical="center" wrapText="1"/>
    </xf>
    <xf numFmtId="184" fontId="37" fillId="27" borderId="11" xfId="0" applyNumberFormat="1" applyFont="1" applyFill="1" applyBorder="1" applyAlignment="1">
      <alignment horizontal="center" vertical="center" wrapText="1"/>
    </xf>
    <xf numFmtId="183" fontId="37" fillId="27" borderId="11" xfId="0" applyNumberFormat="1" applyFont="1" applyFill="1" applyBorder="1" applyAlignment="1">
      <alignment horizontal="left" vertical="center" wrapText="1"/>
    </xf>
    <xf numFmtId="0" fontId="40" fillId="27" borderId="11" xfId="0" applyFont="1" applyFill="1" applyBorder="1" applyAlignment="1">
      <alignment/>
    </xf>
    <xf numFmtId="183" fontId="35" fillId="27" borderId="11" xfId="0" applyNumberFormat="1" applyFont="1" applyFill="1" applyBorder="1" applyAlignment="1">
      <alignment horizontal="center" vertical="center" wrapText="1"/>
    </xf>
    <xf numFmtId="178" fontId="38" fillId="27" borderId="11" xfId="0" applyNumberFormat="1" applyFont="1" applyFill="1" applyBorder="1" applyAlignment="1">
      <alignment horizontal="center" vertical="center"/>
    </xf>
    <xf numFmtId="4" fontId="28" fillId="27" borderId="11" xfId="0" applyNumberFormat="1" applyFont="1" applyFill="1" applyBorder="1" applyAlignment="1">
      <alignment horizontal="center" vertical="center"/>
    </xf>
    <xf numFmtId="2" fontId="39" fillId="27" borderId="11" xfId="0" applyNumberFormat="1" applyFont="1" applyFill="1" applyBorder="1" applyAlignment="1">
      <alignment horizontal="center" wrapText="1"/>
    </xf>
    <xf numFmtId="4" fontId="29" fillId="0" borderId="11" xfId="0" applyNumberFormat="1" applyFont="1" applyFill="1" applyBorder="1" applyAlignment="1">
      <alignment horizontal="center" vertical="center" wrapText="1"/>
    </xf>
    <xf numFmtId="0" fontId="30" fillId="0" borderId="17" xfId="0" applyFont="1" applyFill="1" applyBorder="1" applyAlignment="1">
      <alignment vertical="top" wrapText="1"/>
    </xf>
    <xf numFmtId="2" fontId="29" fillId="27" borderId="13" xfId="0" applyNumberFormat="1" applyFont="1" applyFill="1" applyBorder="1" applyAlignment="1">
      <alignment horizontal="center"/>
    </xf>
    <xf numFmtId="2" fontId="29" fillId="27" borderId="11" xfId="0" applyNumberFormat="1" applyFont="1" applyFill="1" applyBorder="1" applyAlignment="1">
      <alignment horizontal="center"/>
    </xf>
    <xf numFmtId="2" fontId="38" fillId="0" borderId="11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0" fontId="30" fillId="26" borderId="11" xfId="0" applyFont="1" applyFill="1" applyBorder="1" applyAlignment="1">
      <alignment horizontal="center"/>
    </xf>
    <xf numFmtId="2" fontId="30" fillId="26" borderId="11" xfId="0" applyNumberFormat="1" applyFont="1" applyFill="1" applyBorder="1" applyAlignment="1">
      <alignment horizontal="center"/>
    </xf>
    <xf numFmtId="177" fontId="33" fillId="4" borderId="11" xfId="0" applyNumberFormat="1" applyFont="1" applyFill="1" applyBorder="1" applyAlignment="1">
      <alignment horizontal="center" vertical="center" wrapText="1"/>
    </xf>
    <xf numFmtId="183" fontId="33" fillId="4" borderId="11" xfId="0" applyNumberFormat="1" applyFont="1" applyFill="1" applyBorder="1" applyAlignment="1">
      <alignment horizontal="center" vertical="center" wrapText="1"/>
    </xf>
    <xf numFmtId="4" fontId="33" fillId="4" borderId="11" xfId="0" applyNumberFormat="1" applyFont="1" applyFill="1" applyBorder="1" applyAlignment="1">
      <alignment horizontal="center" vertical="center" wrapText="1"/>
    </xf>
    <xf numFmtId="178" fontId="30" fillId="4" borderId="11" xfId="0" applyNumberFormat="1" applyFont="1" applyFill="1" applyBorder="1" applyAlignment="1">
      <alignment horizontal="center"/>
    </xf>
    <xf numFmtId="2" fontId="30" fillId="4" borderId="11" xfId="0" applyNumberFormat="1" applyFont="1" applyFill="1" applyBorder="1" applyAlignment="1">
      <alignment horizontal="center" wrapText="1"/>
    </xf>
    <xf numFmtId="0" fontId="0" fillId="4" borderId="11" xfId="0" applyFont="1" applyFill="1" applyBorder="1" applyAlignment="1">
      <alignment/>
    </xf>
    <xf numFmtId="184" fontId="33" fillId="4" borderId="11" xfId="0" applyNumberFormat="1" applyFont="1" applyFill="1" applyBorder="1" applyAlignment="1">
      <alignment horizontal="center" vertical="center" wrapText="1"/>
    </xf>
    <xf numFmtId="0" fontId="0" fillId="26" borderId="11" xfId="0" applyFont="1" applyFill="1" applyBorder="1" applyAlignment="1">
      <alignment/>
    </xf>
    <xf numFmtId="2" fontId="29" fillId="26" borderId="11" xfId="0" applyNumberFormat="1" applyFont="1" applyFill="1" applyBorder="1" applyAlignment="1">
      <alignment horizontal="center"/>
    </xf>
    <xf numFmtId="2" fontId="30" fillId="26" borderId="11" xfId="0" applyNumberFormat="1" applyFont="1" applyFill="1" applyBorder="1" applyAlignment="1">
      <alignment horizontal="center" wrapText="1"/>
    </xf>
    <xf numFmtId="183" fontId="33" fillId="26" borderId="11" xfId="0" applyNumberFormat="1" applyFont="1" applyFill="1" applyBorder="1" applyAlignment="1">
      <alignment horizontal="left" vertical="center" wrapText="1"/>
    </xf>
    <xf numFmtId="178" fontId="30" fillId="26" borderId="11" xfId="0" applyNumberFormat="1" applyFont="1" applyFill="1" applyBorder="1" applyAlignment="1">
      <alignment horizontal="center" vertical="center"/>
    </xf>
    <xf numFmtId="4" fontId="38" fillId="26" borderId="13" xfId="0" applyNumberFormat="1" applyFont="1" applyFill="1" applyBorder="1" applyAlignment="1">
      <alignment horizontal="center" vertical="center" wrapText="1"/>
    </xf>
    <xf numFmtId="0" fontId="32" fillId="26" borderId="11" xfId="0" applyFont="1" applyFill="1" applyBorder="1" applyAlignment="1">
      <alignment horizontal="left" wrapText="1"/>
    </xf>
    <xf numFmtId="177" fontId="29" fillId="26" borderId="11" xfId="0" applyNumberFormat="1" applyFont="1" applyFill="1" applyBorder="1" applyAlignment="1">
      <alignment horizontal="center" vertical="center" wrapText="1"/>
    </xf>
    <xf numFmtId="177" fontId="30" fillId="26" borderId="11" xfId="0" applyNumberFormat="1" applyFont="1" applyFill="1" applyBorder="1" applyAlignment="1">
      <alignment horizontal="center" vertical="center" wrapText="1"/>
    </xf>
    <xf numFmtId="0" fontId="33" fillId="26" borderId="11" xfId="0" applyFont="1" applyFill="1" applyBorder="1" applyAlignment="1">
      <alignment horizontal="center" vertical="center" wrapText="1"/>
    </xf>
    <xf numFmtId="4" fontId="38" fillId="26" borderId="11" xfId="0" applyNumberFormat="1" applyFont="1" applyFill="1" applyBorder="1" applyAlignment="1">
      <alignment horizontal="center"/>
    </xf>
    <xf numFmtId="0" fontId="33" fillId="26" borderId="11" xfId="0" applyFont="1" applyFill="1" applyBorder="1" applyAlignment="1">
      <alignment horizontal="left" vertical="center" wrapText="1"/>
    </xf>
    <xf numFmtId="183" fontId="33" fillId="26" borderId="11" xfId="0" applyNumberFormat="1" applyFont="1" applyFill="1" applyBorder="1" applyAlignment="1">
      <alignment horizontal="center" vertical="center"/>
    </xf>
    <xf numFmtId="183" fontId="37" fillId="26" borderId="11" xfId="0" applyNumberFormat="1" applyFont="1" applyFill="1" applyBorder="1" applyAlignment="1">
      <alignment horizontal="center" vertical="center"/>
    </xf>
    <xf numFmtId="4" fontId="33" fillId="26" borderId="11" xfId="0" applyNumberFormat="1" applyFont="1" applyFill="1" applyBorder="1" applyAlignment="1">
      <alignment horizontal="center" vertical="center"/>
    </xf>
    <xf numFmtId="4" fontId="30" fillId="26" borderId="11" xfId="0" applyNumberFormat="1" applyFont="1" applyFill="1" applyBorder="1" applyAlignment="1">
      <alignment horizontal="center" vertical="center" wrapText="1"/>
    </xf>
    <xf numFmtId="0" fontId="0" fillId="26" borderId="11" xfId="0" applyFont="1" applyFill="1" applyBorder="1" applyAlignment="1">
      <alignment/>
    </xf>
    <xf numFmtId="2" fontId="38" fillId="0" borderId="13" xfId="0" applyNumberFormat="1" applyFont="1" applyBorder="1" applyAlignment="1">
      <alignment horizontal="center"/>
    </xf>
    <xf numFmtId="0" fontId="30" fillId="0" borderId="11" xfId="0" applyFont="1" applyFill="1" applyBorder="1" applyAlignment="1">
      <alignment wrapText="1"/>
    </xf>
    <xf numFmtId="183" fontId="32" fillId="26" borderId="11" xfId="0" applyNumberFormat="1" applyFont="1" applyFill="1" applyBorder="1" applyAlignment="1">
      <alignment horizontal="center" vertical="center" wrapText="1"/>
    </xf>
    <xf numFmtId="0" fontId="38" fillId="0" borderId="11" xfId="0" applyFont="1" applyBorder="1" applyAlignment="1">
      <alignment wrapText="1"/>
    </xf>
    <xf numFmtId="0" fontId="29" fillId="0" borderId="11" xfId="0" applyFont="1" applyBorder="1" applyAlignment="1">
      <alignment/>
    </xf>
    <xf numFmtId="0" fontId="29" fillId="26" borderId="11" xfId="0" applyFont="1" applyFill="1" applyBorder="1" applyAlignment="1">
      <alignment horizontal="center" wrapText="1"/>
    </xf>
    <xf numFmtId="0" fontId="29" fillId="0" borderId="14" xfId="0" applyFont="1" applyBorder="1" applyAlignment="1">
      <alignment/>
    </xf>
    <xf numFmtId="0" fontId="29" fillId="0" borderId="17" xfId="0" applyFont="1" applyBorder="1" applyAlignment="1">
      <alignment/>
    </xf>
    <xf numFmtId="0" fontId="32" fillId="0" borderId="14" xfId="0" applyFont="1" applyFill="1" applyBorder="1" applyAlignment="1">
      <alignment horizontal="center" vertical="center" wrapText="1"/>
    </xf>
    <xf numFmtId="0" fontId="34" fillId="0" borderId="18" xfId="0" applyFont="1" applyFill="1" applyBorder="1" applyAlignment="1">
      <alignment horizontal="center" vertical="center" wrapText="1"/>
    </xf>
    <xf numFmtId="0" fontId="34" fillId="0" borderId="19" xfId="0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 wrapText="1"/>
    </xf>
    <xf numFmtId="0" fontId="29" fillId="0" borderId="12" xfId="0" applyFont="1" applyBorder="1" applyAlignment="1">
      <alignment/>
    </xf>
    <xf numFmtId="0" fontId="29" fillId="0" borderId="13" xfId="0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17" xfId="0" applyBorder="1" applyAlignment="1">
      <alignment horizontal="center"/>
    </xf>
    <xf numFmtId="0" fontId="29" fillId="0" borderId="12" xfId="0" applyFont="1" applyBorder="1" applyAlignment="1">
      <alignment horizontal="center" wrapText="1"/>
    </xf>
    <xf numFmtId="0" fontId="29" fillId="0" borderId="13" xfId="0" applyFont="1" applyBorder="1" applyAlignment="1">
      <alignment horizontal="center" wrapText="1"/>
    </xf>
    <xf numFmtId="0" fontId="38" fillId="26" borderId="11" xfId="0" applyFont="1" applyFill="1" applyBorder="1" applyAlignment="1">
      <alignment wrapText="1"/>
    </xf>
    <xf numFmtId="0" fontId="29" fillId="0" borderId="12" xfId="0" applyFont="1" applyBorder="1" applyAlignment="1">
      <alignment horizontal="center"/>
    </xf>
    <xf numFmtId="0" fontId="29" fillId="0" borderId="13" xfId="0" applyFont="1" applyBorder="1" applyAlignment="1">
      <alignment horizontal="center"/>
    </xf>
    <xf numFmtId="0" fontId="29" fillId="26" borderId="12" xfId="0" applyFont="1" applyFill="1" applyBorder="1" applyAlignment="1">
      <alignment horizontal="center" vertical="center" wrapText="1"/>
    </xf>
    <xf numFmtId="0" fontId="29" fillId="26" borderId="13" xfId="0" applyFont="1" applyFill="1" applyBorder="1" applyAlignment="1">
      <alignment horizontal="center" vertical="center" wrapText="1"/>
    </xf>
    <xf numFmtId="0" fontId="38" fillId="26" borderId="11" xfId="0" applyFont="1" applyFill="1" applyBorder="1" applyAlignment="1">
      <alignment/>
    </xf>
    <xf numFmtId="0" fontId="0" fillId="26" borderId="11" xfId="0" applyFont="1" applyFill="1" applyBorder="1" applyAlignment="1">
      <alignment/>
    </xf>
    <xf numFmtId="49" fontId="36" fillId="20" borderId="11" xfId="0" applyNumberFormat="1" applyFont="1" applyFill="1" applyBorder="1" applyAlignment="1">
      <alignment horizontal="center" vertical="center" wrapText="1"/>
    </xf>
    <xf numFmtId="49" fontId="27" fillId="0" borderId="11" xfId="0" applyNumberFormat="1" applyFont="1" applyBorder="1" applyAlignment="1">
      <alignment horizontal="center" vertical="center" wrapText="1"/>
    </xf>
    <xf numFmtId="0" fontId="29" fillId="0" borderId="20" xfId="0" applyFont="1" applyBorder="1" applyAlignment="1">
      <alignment horizontal="center"/>
    </xf>
    <xf numFmtId="0" fontId="29" fillId="0" borderId="21" xfId="0" applyFont="1" applyBorder="1" applyAlignment="1">
      <alignment horizontal="center"/>
    </xf>
    <xf numFmtId="0" fontId="29" fillId="26" borderId="12" xfId="0" applyFont="1" applyFill="1" applyBorder="1" applyAlignment="1">
      <alignment horizontal="center" wrapText="1"/>
    </xf>
    <xf numFmtId="0" fontId="29" fillId="26" borderId="13" xfId="0" applyFont="1" applyFill="1" applyBorder="1" applyAlignment="1">
      <alignment horizontal="center" wrapText="1"/>
    </xf>
    <xf numFmtId="0" fontId="29" fillId="0" borderId="0" xfId="0" applyFont="1" applyAlignment="1">
      <alignment horizontal="center" vertical="center" wrapText="1"/>
    </xf>
    <xf numFmtId="0" fontId="29" fillId="0" borderId="12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32" fillId="0" borderId="20" xfId="0" applyFont="1" applyFill="1" applyBorder="1" applyAlignment="1">
      <alignment horizontal="center" vertical="center" wrapText="1"/>
    </xf>
    <xf numFmtId="0" fontId="32" fillId="0" borderId="22" xfId="0" applyFont="1" applyFill="1" applyBorder="1" applyAlignment="1">
      <alignment horizontal="center" vertical="center" wrapText="1"/>
    </xf>
    <xf numFmtId="0" fontId="32" fillId="0" borderId="18" xfId="0" applyFont="1" applyFill="1" applyBorder="1" applyAlignment="1">
      <alignment horizontal="center" vertical="center" wrapText="1"/>
    </xf>
    <xf numFmtId="0" fontId="32" fillId="0" borderId="21" xfId="0" applyFont="1" applyFill="1" applyBorder="1" applyAlignment="1">
      <alignment horizontal="center" vertical="center" wrapText="1"/>
    </xf>
    <xf numFmtId="0" fontId="32" fillId="0" borderId="23" xfId="0" applyFont="1" applyFill="1" applyBorder="1" applyAlignment="1">
      <alignment horizontal="center" vertical="center" wrapText="1"/>
    </xf>
    <xf numFmtId="0" fontId="32" fillId="0" borderId="24" xfId="0" applyFont="1" applyFill="1" applyBorder="1" applyAlignment="1">
      <alignment horizontal="center" vertical="center" wrapText="1"/>
    </xf>
  </cellXfs>
  <cellStyles count="11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Xl0000125" xfId="93"/>
    <cellStyle name="Итог" xfId="94"/>
    <cellStyle name="Контрольная ячейка" xfId="95"/>
    <cellStyle name="Название" xfId="96"/>
    <cellStyle name="Нейтральный" xfId="97"/>
    <cellStyle name="Обчислення" xfId="98"/>
    <cellStyle name="Обычный 10" xfId="99"/>
    <cellStyle name="Обычный 16" xfId="100"/>
    <cellStyle name="Обычный 18" xfId="101"/>
    <cellStyle name="Обычный 2" xfId="102"/>
    <cellStyle name="Обычный 2 2" xfId="103"/>
    <cellStyle name="Обычный 2 8" xfId="104"/>
    <cellStyle name="Обычный 2_дод. 9" xfId="105"/>
    <cellStyle name="Обычный 3" xfId="106"/>
    <cellStyle name="Обычный 3 2" xfId="107"/>
    <cellStyle name="Обычный 4" xfId="108"/>
    <cellStyle name="Обычный 5" xfId="109"/>
    <cellStyle name="Обычный 9 2" xfId="110"/>
    <cellStyle name="Обычный_дод 2-9_дод  2-10. з бюджетом розвитку" xfId="111"/>
    <cellStyle name="Обычный_дод 6 із заборг" xfId="112"/>
    <cellStyle name="Обычный_дод 8 до бюджету 2012" xfId="113"/>
    <cellStyle name="Followed Hyperlink" xfId="114"/>
    <cellStyle name="Підсумок" xfId="115"/>
    <cellStyle name="Плохой" xfId="116"/>
    <cellStyle name="Поганий" xfId="117"/>
    <cellStyle name="Пояснение" xfId="118"/>
    <cellStyle name="Примечание" xfId="119"/>
    <cellStyle name="Примітка" xfId="120"/>
    <cellStyle name="Percent" xfId="121"/>
    <cellStyle name="Результат" xfId="122"/>
    <cellStyle name="Связанная ячейка" xfId="123"/>
    <cellStyle name="Середній" xfId="124"/>
    <cellStyle name="Стиль 1" xfId="125"/>
    <cellStyle name="Текст пояснення" xfId="126"/>
    <cellStyle name="Текст предупреждения" xfId="127"/>
    <cellStyle name="Тысячи [0]_Розподіл (2)" xfId="128"/>
    <cellStyle name="Тысячи_Розподіл (2)" xfId="129"/>
    <cellStyle name="Comma" xfId="130"/>
    <cellStyle name="Comma [0]" xfId="131"/>
    <cellStyle name="Хороший" xfId="13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25"/>
  <sheetViews>
    <sheetView tabSelected="1" zoomScale="75" zoomScaleNormal="75" zoomScalePageLayoutView="0" workbookViewId="0" topLeftCell="B1">
      <selection activeCell="AE49" sqref="AE49"/>
    </sheetView>
  </sheetViews>
  <sheetFormatPr defaultColWidth="9.33203125" defaultRowHeight="12.75"/>
  <cols>
    <col min="1" max="1" width="0.1640625" style="0" hidden="1" customWidth="1"/>
    <col min="2" max="2" width="7.83203125" style="4" customWidth="1"/>
    <col min="3" max="3" width="0.328125" style="0" hidden="1" customWidth="1"/>
    <col min="4" max="4" width="133" style="0" customWidth="1"/>
    <col min="5" max="5" width="20" style="0" hidden="1" customWidth="1"/>
    <col min="6" max="6" width="16.16015625" style="0" hidden="1" customWidth="1"/>
    <col min="7" max="7" width="25.83203125" style="0" hidden="1" customWidth="1"/>
    <col min="8" max="8" width="26.16015625" style="0" hidden="1" customWidth="1"/>
    <col min="9" max="11" width="20.33203125" style="0" hidden="1" customWidth="1"/>
    <col min="12" max="12" width="22.16015625" style="0" hidden="1" customWidth="1"/>
    <col min="13" max="13" width="21.5" style="0" hidden="1" customWidth="1"/>
    <col min="14" max="15" width="20.33203125" style="0" hidden="1" customWidth="1"/>
    <col min="16" max="16" width="22.66015625" style="0" hidden="1" customWidth="1"/>
    <col min="17" max="17" width="32.16015625" style="0" hidden="1" customWidth="1"/>
    <col min="18" max="18" width="30.16015625" style="0" hidden="1" customWidth="1"/>
    <col min="19" max="19" width="28.83203125" style="0" hidden="1" customWidth="1"/>
    <col min="20" max="20" width="0.1640625" style="0" hidden="1" customWidth="1"/>
    <col min="21" max="21" width="15.5" style="0" hidden="1" customWidth="1"/>
    <col min="22" max="22" width="24.5" style="0" hidden="1" customWidth="1"/>
    <col min="23" max="23" width="21.16015625" style="0" hidden="1" customWidth="1"/>
    <col min="24" max="24" width="27.33203125" style="0" hidden="1" customWidth="1"/>
    <col min="25" max="25" width="23.66015625" style="0" hidden="1" customWidth="1"/>
    <col min="26" max="26" width="25.16015625" style="0" hidden="1" customWidth="1"/>
    <col min="27" max="27" width="20.5" style="0" hidden="1" customWidth="1"/>
    <col min="28" max="28" width="45.5" style="0" hidden="1" customWidth="1"/>
    <col min="29" max="29" width="22" style="0" hidden="1" customWidth="1"/>
    <col min="30" max="30" width="22" style="3" customWidth="1"/>
    <col min="31" max="31" width="24.83203125" style="0" customWidth="1"/>
    <col min="32" max="32" width="28.66015625" style="0" customWidth="1"/>
    <col min="33" max="33" width="30.66015625" style="0" customWidth="1"/>
    <col min="34" max="34" width="29.5" style="0" customWidth="1"/>
    <col min="35" max="35" width="23" style="0" customWidth="1"/>
    <col min="37" max="37" width="18.5" style="0" customWidth="1"/>
  </cols>
  <sheetData>
    <row r="1" ht="12.75">
      <c r="AG1" s="4"/>
    </row>
    <row r="2" ht="12.75">
      <c r="AG2" s="6"/>
    </row>
    <row r="3" ht="12.75"/>
    <row r="4" spans="2:33" ht="18.75">
      <c r="B4" s="279" t="s">
        <v>192</v>
      </c>
      <c r="C4" s="279"/>
      <c r="D4" s="279"/>
      <c r="E4" s="279"/>
      <c r="F4" s="279"/>
      <c r="G4" s="279"/>
      <c r="H4" s="279"/>
      <c r="I4" s="279"/>
      <c r="J4" s="279"/>
      <c r="K4" s="279"/>
      <c r="L4" s="279"/>
      <c r="M4" s="279"/>
      <c r="N4" s="279"/>
      <c r="O4" s="279"/>
      <c r="P4" s="279"/>
      <c r="Q4" s="279"/>
      <c r="R4" s="279"/>
      <c r="S4" s="279"/>
      <c r="T4" s="279"/>
      <c r="U4" s="279"/>
      <c r="V4" s="279"/>
      <c r="W4" s="279"/>
      <c r="X4" s="279"/>
      <c r="Y4" s="279"/>
      <c r="Z4" s="279"/>
      <c r="AA4" s="279"/>
      <c r="AB4" s="279"/>
      <c r="AC4" s="279"/>
      <c r="AD4" s="279"/>
      <c r="AE4" s="279"/>
      <c r="AF4" s="279"/>
      <c r="AG4" s="279"/>
    </row>
    <row r="5" spans="1:35" ht="20.25" customHeight="1">
      <c r="A5" s="255" t="s">
        <v>111</v>
      </c>
      <c r="B5" s="7"/>
      <c r="C5" s="256" t="s">
        <v>112</v>
      </c>
      <c r="E5" s="8" t="s">
        <v>113</v>
      </c>
      <c r="F5" s="8" t="s">
        <v>114</v>
      </c>
      <c r="G5" s="9" t="s">
        <v>115</v>
      </c>
      <c r="H5" s="8" t="s">
        <v>116</v>
      </c>
      <c r="I5" s="8" t="s">
        <v>42</v>
      </c>
      <c r="J5" s="258" t="s">
        <v>43</v>
      </c>
      <c r="K5" s="258" t="s">
        <v>44</v>
      </c>
      <c r="L5" s="258" t="s">
        <v>45</v>
      </c>
      <c r="M5" s="258" t="s">
        <v>46</v>
      </c>
      <c r="N5" s="284" t="s">
        <v>47</v>
      </c>
      <c r="O5" s="285"/>
      <c r="P5" s="286"/>
      <c r="Q5" s="260" t="s">
        <v>48</v>
      </c>
      <c r="R5" s="260" t="s">
        <v>49</v>
      </c>
      <c r="S5" s="262" t="s">
        <v>50</v>
      </c>
      <c r="T5" s="263"/>
      <c r="U5" s="10"/>
      <c r="V5" s="264" t="s">
        <v>51</v>
      </c>
      <c r="W5" s="264" t="s">
        <v>52</v>
      </c>
      <c r="X5" s="264" t="s">
        <v>53</v>
      </c>
      <c r="Y5" s="267" t="s">
        <v>54</v>
      </c>
      <c r="Z5" s="269" t="s">
        <v>55</v>
      </c>
      <c r="AA5" s="277" t="s">
        <v>56</v>
      </c>
      <c r="AB5" s="277" t="s">
        <v>57</v>
      </c>
      <c r="AC5" s="275" t="s">
        <v>58</v>
      </c>
      <c r="AD5" s="133"/>
      <c r="AI5" s="11" t="s">
        <v>59</v>
      </c>
    </row>
    <row r="6" spans="1:35" ht="19.5">
      <c r="A6" s="255"/>
      <c r="B6" s="258" t="s">
        <v>60</v>
      </c>
      <c r="C6" s="257"/>
      <c r="D6" s="258" t="s">
        <v>61</v>
      </c>
      <c r="E6" s="12">
        <v>2</v>
      </c>
      <c r="F6" s="12">
        <v>3</v>
      </c>
      <c r="G6" s="13">
        <v>4</v>
      </c>
      <c r="H6" s="12">
        <v>3</v>
      </c>
      <c r="I6" s="12">
        <v>4</v>
      </c>
      <c r="J6" s="259"/>
      <c r="K6" s="259"/>
      <c r="L6" s="259"/>
      <c r="M6" s="259"/>
      <c r="N6" s="287"/>
      <c r="O6" s="288"/>
      <c r="P6" s="289"/>
      <c r="Q6" s="261"/>
      <c r="R6" s="261"/>
      <c r="S6" s="253" t="s">
        <v>97</v>
      </c>
      <c r="T6" s="254"/>
      <c r="U6" s="14"/>
      <c r="V6" s="265"/>
      <c r="W6" s="265"/>
      <c r="X6" s="265"/>
      <c r="Y6" s="268"/>
      <c r="Z6" s="270"/>
      <c r="AA6" s="278"/>
      <c r="AB6" s="278"/>
      <c r="AC6" s="276"/>
      <c r="AD6" s="282" t="s">
        <v>98</v>
      </c>
      <c r="AE6" s="280" t="s">
        <v>48</v>
      </c>
      <c r="AF6" s="280" t="s">
        <v>49</v>
      </c>
      <c r="AG6" s="150" t="s">
        <v>50</v>
      </c>
      <c r="AH6" s="277" t="s">
        <v>237</v>
      </c>
      <c r="AI6" s="251" t="s">
        <v>41</v>
      </c>
    </row>
    <row r="7" spans="1:35" ht="36.75" customHeight="1">
      <c r="A7" s="15">
        <v>1</v>
      </c>
      <c r="B7" s="259"/>
      <c r="C7" s="130">
        <v>1</v>
      </c>
      <c r="D7" s="259"/>
      <c r="E7" s="16"/>
      <c r="F7" s="16"/>
      <c r="G7" s="17"/>
      <c r="H7" s="16"/>
      <c r="I7" s="16"/>
      <c r="J7" s="15"/>
      <c r="K7" s="15"/>
      <c r="L7" s="15"/>
      <c r="M7" s="15">
        <v>3</v>
      </c>
      <c r="N7" s="15"/>
      <c r="O7" s="15"/>
      <c r="P7" s="15">
        <v>4</v>
      </c>
      <c r="Q7" s="18">
        <v>4</v>
      </c>
      <c r="R7" s="18">
        <v>5</v>
      </c>
      <c r="S7" s="19">
        <v>6</v>
      </c>
      <c r="T7" s="20"/>
      <c r="U7" s="20"/>
      <c r="V7" s="20"/>
      <c r="W7" s="20"/>
      <c r="X7" s="18">
        <v>5</v>
      </c>
      <c r="Y7" s="18">
        <v>6</v>
      </c>
      <c r="Z7" s="21">
        <v>5</v>
      </c>
      <c r="AA7" s="21"/>
      <c r="AB7" s="131"/>
      <c r="AC7" s="132"/>
      <c r="AD7" s="283"/>
      <c r="AE7" s="281"/>
      <c r="AF7" s="281"/>
      <c r="AG7" s="149" t="s">
        <v>97</v>
      </c>
      <c r="AH7" s="278"/>
      <c r="AI7" s="251"/>
    </row>
    <row r="8" spans="1:35" ht="15.75" customHeight="1">
      <c r="A8" s="15"/>
      <c r="B8" s="155" t="s">
        <v>29</v>
      </c>
      <c r="C8" s="156"/>
      <c r="D8" s="157" t="s">
        <v>189</v>
      </c>
      <c r="E8" s="158"/>
      <c r="F8" s="158"/>
      <c r="G8" s="159"/>
      <c r="H8" s="158"/>
      <c r="I8" s="158"/>
      <c r="J8" s="160"/>
      <c r="K8" s="160"/>
      <c r="L8" s="160"/>
      <c r="M8" s="160"/>
      <c r="N8" s="160"/>
      <c r="O8" s="160"/>
      <c r="P8" s="160"/>
      <c r="Q8" s="161"/>
      <c r="R8" s="161"/>
      <c r="S8" s="162"/>
      <c r="T8" s="163"/>
      <c r="U8" s="163"/>
      <c r="V8" s="163"/>
      <c r="W8" s="163"/>
      <c r="X8" s="161"/>
      <c r="Y8" s="161"/>
      <c r="Z8" s="161"/>
      <c r="AA8" s="161"/>
      <c r="AB8" s="164"/>
      <c r="AC8" s="165"/>
      <c r="AD8" s="154">
        <f aca="true" t="shared" si="0" ref="AD8:AD39">AE8+AF8</f>
        <v>13282910</v>
      </c>
      <c r="AE8" s="166"/>
      <c r="AF8" s="167">
        <f>SUM(AF9:AF50)</f>
        <v>13282910</v>
      </c>
      <c r="AG8" s="167">
        <f>SUM(AG9:AG50)</f>
        <v>13282910</v>
      </c>
      <c r="AH8" s="167">
        <f>SUM(AH9:AH50)</f>
        <v>1982126.08</v>
      </c>
      <c r="AI8" s="33">
        <f aca="true" t="shared" si="1" ref="AI8:AI52">AH8/AF8*100</f>
        <v>14.922378304151726</v>
      </c>
    </row>
    <row r="9" spans="1:35" s="147" customFormat="1" ht="75">
      <c r="A9" s="138"/>
      <c r="B9" s="151" t="s">
        <v>146</v>
      </c>
      <c r="C9" s="139"/>
      <c r="D9" s="128" t="s">
        <v>190</v>
      </c>
      <c r="E9" s="17"/>
      <c r="F9" s="17"/>
      <c r="G9" s="17"/>
      <c r="H9" s="17"/>
      <c r="I9" s="17"/>
      <c r="J9" s="138"/>
      <c r="K9" s="138"/>
      <c r="L9" s="138"/>
      <c r="M9" s="138"/>
      <c r="N9" s="138"/>
      <c r="O9" s="138"/>
      <c r="P9" s="138"/>
      <c r="Q9" s="140"/>
      <c r="R9" s="140"/>
      <c r="S9" s="141"/>
      <c r="T9" s="142"/>
      <c r="U9" s="142"/>
      <c r="V9" s="142"/>
      <c r="W9" s="142"/>
      <c r="X9" s="140"/>
      <c r="Y9" s="140"/>
      <c r="Z9" s="143"/>
      <c r="AA9" s="143"/>
      <c r="AB9" s="144"/>
      <c r="AC9" s="145"/>
      <c r="AD9" s="148">
        <f t="shared" si="0"/>
        <v>2930000</v>
      </c>
      <c r="AE9" s="146"/>
      <c r="AF9" s="127">
        <f>4530000-1600000</f>
        <v>2930000</v>
      </c>
      <c r="AG9" s="91">
        <f aca="true" t="shared" si="2" ref="AG9:AG50">AF9</f>
        <v>2930000</v>
      </c>
      <c r="AH9" s="91">
        <f>200937.6+366000+363000+257196+10861+273900</f>
        <v>1471894.6</v>
      </c>
      <c r="AI9" s="75">
        <f t="shared" si="1"/>
        <v>50.23531058020478</v>
      </c>
    </row>
    <row r="10" spans="1:35" s="147" customFormat="1" ht="37.5">
      <c r="A10" s="138"/>
      <c r="B10" s="151" t="s">
        <v>99</v>
      </c>
      <c r="C10" s="139"/>
      <c r="D10" s="124" t="s">
        <v>209</v>
      </c>
      <c r="E10" s="17"/>
      <c r="F10" s="17"/>
      <c r="G10" s="17"/>
      <c r="H10" s="17"/>
      <c r="I10" s="17"/>
      <c r="J10" s="138"/>
      <c r="K10" s="138"/>
      <c r="L10" s="138"/>
      <c r="M10" s="138"/>
      <c r="N10" s="138"/>
      <c r="O10" s="138"/>
      <c r="P10" s="138"/>
      <c r="Q10" s="140"/>
      <c r="R10" s="140"/>
      <c r="S10" s="141"/>
      <c r="T10" s="142"/>
      <c r="U10" s="142"/>
      <c r="V10" s="142"/>
      <c r="W10" s="142"/>
      <c r="X10" s="140"/>
      <c r="Y10" s="140"/>
      <c r="Z10" s="143"/>
      <c r="AA10" s="143"/>
      <c r="AB10" s="144"/>
      <c r="AC10" s="145"/>
      <c r="AD10" s="148">
        <f t="shared" si="0"/>
        <v>106000</v>
      </c>
      <c r="AE10" s="146"/>
      <c r="AF10" s="126">
        <v>106000</v>
      </c>
      <c r="AG10" s="91">
        <f t="shared" si="2"/>
        <v>106000</v>
      </c>
      <c r="AH10" s="81"/>
      <c r="AI10" s="75">
        <f t="shared" si="1"/>
        <v>0</v>
      </c>
    </row>
    <row r="11" spans="1:35" s="147" customFormat="1" ht="37.5">
      <c r="A11" s="138"/>
      <c r="B11" s="151" t="s">
        <v>100</v>
      </c>
      <c r="C11" s="139"/>
      <c r="D11" s="124" t="s">
        <v>210</v>
      </c>
      <c r="E11" s="17"/>
      <c r="F11" s="17"/>
      <c r="G11" s="17"/>
      <c r="H11" s="17"/>
      <c r="I11" s="17"/>
      <c r="J11" s="138"/>
      <c r="K11" s="138"/>
      <c r="L11" s="138"/>
      <c r="M11" s="138"/>
      <c r="N11" s="138"/>
      <c r="O11" s="138"/>
      <c r="P11" s="138"/>
      <c r="Q11" s="140"/>
      <c r="R11" s="140"/>
      <c r="S11" s="141"/>
      <c r="T11" s="142"/>
      <c r="U11" s="142"/>
      <c r="V11" s="142"/>
      <c r="W11" s="142"/>
      <c r="X11" s="140"/>
      <c r="Y11" s="140"/>
      <c r="Z11" s="143"/>
      <c r="AA11" s="143"/>
      <c r="AB11" s="144"/>
      <c r="AC11" s="145"/>
      <c r="AD11" s="148">
        <f t="shared" si="0"/>
        <v>72000</v>
      </c>
      <c r="AE11" s="146"/>
      <c r="AF11" s="126">
        <v>72000</v>
      </c>
      <c r="AG11" s="91">
        <f t="shared" si="2"/>
        <v>72000</v>
      </c>
      <c r="AH11" s="81"/>
      <c r="AI11" s="75">
        <f t="shared" si="1"/>
        <v>0</v>
      </c>
    </row>
    <row r="12" spans="1:35" s="147" customFormat="1" ht="37.5">
      <c r="A12" s="138"/>
      <c r="B12" s="151" t="s">
        <v>101</v>
      </c>
      <c r="C12" s="139"/>
      <c r="D12" s="124" t="s">
        <v>211</v>
      </c>
      <c r="E12" s="17"/>
      <c r="F12" s="17"/>
      <c r="G12" s="17"/>
      <c r="H12" s="17"/>
      <c r="I12" s="17"/>
      <c r="J12" s="138"/>
      <c r="K12" s="138"/>
      <c r="L12" s="138"/>
      <c r="M12" s="138"/>
      <c r="N12" s="138"/>
      <c r="O12" s="138"/>
      <c r="P12" s="138"/>
      <c r="Q12" s="140"/>
      <c r="R12" s="140"/>
      <c r="S12" s="141"/>
      <c r="T12" s="142"/>
      <c r="U12" s="142"/>
      <c r="V12" s="142"/>
      <c r="W12" s="142"/>
      <c r="X12" s="140"/>
      <c r="Y12" s="140"/>
      <c r="Z12" s="143"/>
      <c r="AA12" s="143"/>
      <c r="AB12" s="144"/>
      <c r="AC12" s="145"/>
      <c r="AD12" s="148">
        <f t="shared" si="0"/>
        <v>72000</v>
      </c>
      <c r="AE12" s="146"/>
      <c r="AF12" s="126">
        <v>72000</v>
      </c>
      <c r="AG12" s="91">
        <f t="shared" si="2"/>
        <v>72000</v>
      </c>
      <c r="AH12" s="81"/>
      <c r="AI12" s="75">
        <f t="shared" si="1"/>
        <v>0</v>
      </c>
    </row>
    <row r="13" spans="1:35" s="147" customFormat="1" ht="19.5">
      <c r="A13" s="138"/>
      <c r="B13" s="151" t="s">
        <v>102</v>
      </c>
      <c r="C13" s="139"/>
      <c r="D13" s="124" t="s">
        <v>212</v>
      </c>
      <c r="E13" s="17"/>
      <c r="F13" s="17"/>
      <c r="G13" s="17"/>
      <c r="H13" s="17"/>
      <c r="I13" s="17"/>
      <c r="J13" s="138"/>
      <c r="K13" s="138"/>
      <c r="L13" s="138"/>
      <c r="M13" s="138"/>
      <c r="N13" s="138"/>
      <c r="O13" s="138"/>
      <c r="P13" s="138"/>
      <c r="Q13" s="140"/>
      <c r="R13" s="140"/>
      <c r="S13" s="141"/>
      <c r="T13" s="142"/>
      <c r="U13" s="142"/>
      <c r="V13" s="142"/>
      <c r="W13" s="142"/>
      <c r="X13" s="140"/>
      <c r="Y13" s="140"/>
      <c r="Z13" s="143"/>
      <c r="AA13" s="143"/>
      <c r="AB13" s="144"/>
      <c r="AC13" s="145"/>
      <c r="AD13" s="148">
        <f t="shared" si="0"/>
        <v>114000</v>
      </c>
      <c r="AE13" s="146"/>
      <c r="AF13" s="126">
        <v>114000</v>
      </c>
      <c r="AG13" s="91">
        <f t="shared" si="2"/>
        <v>114000</v>
      </c>
      <c r="AH13" s="81"/>
      <c r="AI13" s="75">
        <f t="shared" si="1"/>
        <v>0</v>
      </c>
    </row>
    <row r="14" spans="1:35" s="147" customFormat="1" ht="19.5">
      <c r="A14" s="138"/>
      <c r="B14" s="151" t="s">
        <v>133</v>
      </c>
      <c r="C14" s="139"/>
      <c r="D14" s="124" t="s">
        <v>213</v>
      </c>
      <c r="E14" s="17"/>
      <c r="F14" s="17"/>
      <c r="G14" s="17"/>
      <c r="H14" s="17"/>
      <c r="I14" s="17"/>
      <c r="J14" s="138"/>
      <c r="K14" s="138"/>
      <c r="L14" s="138"/>
      <c r="M14" s="138"/>
      <c r="N14" s="138"/>
      <c r="O14" s="138"/>
      <c r="P14" s="138"/>
      <c r="Q14" s="140"/>
      <c r="R14" s="140"/>
      <c r="S14" s="141"/>
      <c r="T14" s="142"/>
      <c r="U14" s="142"/>
      <c r="V14" s="142"/>
      <c r="W14" s="142"/>
      <c r="X14" s="140"/>
      <c r="Y14" s="140"/>
      <c r="Z14" s="143"/>
      <c r="AA14" s="143"/>
      <c r="AB14" s="144"/>
      <c r="AC14" s="145"/>
      <c r="AD14" s="148">
        <f t="shared" si="0"/>
        <v>72000</v>
      </c>
      <c r="AE14" s="146"/>
      <c r="AF14" s="126">
        <v>72000</v>
      </c>
      <c r="AG14" s="91">
        <f t="shared" si="2"/>
        <v>72000</v>
      </c>
      <c r="AH14" s="81"/>
      <c r="AI14" s="75">
        <f t="shared" si="1"/>
        <v>0</v>
      </c>
    </row>
    <row r="15" spans="1:35" s="147" customFormat="1" ht="19.5">
      <c r="A15" s="138"/>
      <c r="B15" s="151" t="s">
        <v>137</v>
      </c>
      <c r="C15" s="139"/>
      <c r="D15" s="124" t="s">
        <v>214</v>
      </c>
      <c r="E15" s="17"/>
      <c r="F15" s="17"/>
      <c r="G15" s="17"/>
      <c r="H15" s="17"/>
      <c r="I15" s="17"/>
      <c r="J15" s="138"/>
      <c r="K15" s="138"/>
      <c r="L15" s="138"/>
      <c r="M15" s="138"/>
      <c r="N15" s="138"/>
      <c r="O15" s="138"/>
      <c r="P15" s="138"/>
      <c r="Q15" s="140"/>
      <c r="R15" s="140"/>
      <c r="S15" s="141"/>
      <c r="T15" s="142"/>
      <c r="U15" s="142"/>
      <c r="V15" s="142"/>
      <c r="W15" s="142"/>
      <c r="X15" s="140"/>
      <c r="Y15" s="140"/>
      <c r="Z15" s="143"/>
      <c r="AA15" s="143"/>
      <c r="AB15" s="144"/>
      <c r="AC15" s="145"/>
      <c r="AD15" s="148">
        <f t="shared" si="0"/>
        <v>72000</v>
      </c>
      <c r="AE15" s="146"/>
      <c r="AF15" s="126">
        <v>72000</v>
      </c>
      <c r="AG15" s="91">
        <f t="shared" si="2"/>
        <v>72000</v>
      </c>
      <c r="AH15" s="81"/>
      <c r="AI15" s="75">
        <f t="shared" si="1"/>
        <v>0</v>
      </c>
    </row>
    <row r="16" spans="1:35" s="147" customFormat="1" ht="19.5">
      <c r="A16" s="138"/>
      <c r="B16" s="151" t="s">
        <v>93</v>
      </c>
      <c r="C16" s="139"/>
      <c r="D16" s="124" t="s">
        <v>215</v>
      </c>
      <c r="E16" s="17"/>
      <c r="F16" s="17"/>
      <c r="G16" s="17"/>
      <c r="H16" s="17"/>
      <c r="I16" s="17"/>
      <c r="J16" s="138"/>
      <c r="K16" s="138"/>
      <c r="L16" s="138"/>
      <c r="M16" s="138"/>
      <c r="N16" s="138"/>
      <c r="O16" s="138"/>
      <c r="P16" s="138"/>
      <c r="Q16" s="140"/>
      <c r="R16" s="140"/>
      <c r="S16" s="141"/>
      <c r="T16" s="142"/>
      <c r="U16" s="142"/>
      <c r="V16" s="142"/>
      <c r="W16" s="142"/>
      <c r="X16" s="140"/>
      <c r="Y16" s="140"/>
      <c r="Z16" s="143"/>
      <c r="AA16" s="143"/>
      <c r="AB16" s="144"/>
      <c r="AC16" s="145"/>
      <c r="AD16" s="148">
        <f t="shared" si="0"/>
        <v>164000</v>
      </c>
      <c r="AE16" s="146"/>
      <c r="AF16" s="126">
        <v>164000</v>
      </c>
      <c r="AG16" s="91">
        <f t="shared" si="2"/>
        <v>164000</v>
      </c>
      <c r="AH16" s="81"/>
      <c r="AI16" s="75">
        <f t="shared" si="1"/>
        <v>0</v>
      </c>
    </row>
    <row r="17" spans="1:35" s="147" customFormat="1" ht="19.5">
      <c r="A17" s="138"/>
      <c r="B17" s="151" t="s">
        <v>153</v>
      </c>
      <c r="C17" s="139"/>
      <c r="D17" s="124" t="s">
        <v>216</v>
      </c>
      <c r="E17" s="17"/>
      <c r="F17" s="17"/>
      <c r="G17" s="17"/>
      <c r="H17" s="17"/>
      <c r="I17" s="17"/>
      <c r="J17" s="138"/>
      <c r="K17" s="138"/>
      <c r="L17" s="138"/>
      <c r="M17" s="138"/>
      <c r="N17" s="138"/>
      <c r="O17" s="138"/>
      <c r="P17" s="138"/>
      <c r="Q17" s="140"/>
      <c r="R17" s="140"/>
      <c r="S17" s="141"/>
      <c r="T17" s="142"/>
      <c r="U17" s="142"/>
      <c r="V17" s="142"/>
      <c r="W17" s="142"/>
      <c r="X17" s="140"/>
      <c r="Y17" s="140"/>
      <c r="Z17" s="143"/>
      <c r="AA17" s="143"/>
      <c r="AB17" s="144"/>
      <c r="AC17" s="145"/>
      <c r="AD17" s="148">
        <f t="shared" si="0"/>
        <v>105000</v>
      </c>
      <c r="AE17" s="146"/>
      <c r="AF17" s="126">
        <v>105000</v>
      </c>
      <c r="AG17" s="91">
        <f t="shared" si="2"/>
        <v>105000</v>
      </c>
      <c r="AH17" s="81"/>
      <c r="AI17" s="75">
        <f t="shared" si="1"/>
        <v>0</v>
      </c>
    </row>
    <row r="18" spans="1:35" s="147" customFormat="1" ht="19.5">
      <c r="A18" s="138"/>
      <c r="B18" s="151" t="s">
        <v>160</v>
      </c>
      <c r="C18" s="139"/>
      <c r="D18" s="124" t="s">
        <v>226</v>
      </c>
      <c r="E18" s="17"/>
      <c r="F18" s="17"/>
      <c r="G18" s="17"/>
      <c r="H18" s="17"/>
      <c r="I18" s="17"/>
      <c r="J18" s="138"/>
      <c r="K18" s="138"/>
      <c r="L18" s="138"/>
      <c r="M18" s="138"/>
      <c r="N18" s="138"/>
      <c r="O18" s="138"/>
      <c r="P18" s="138"/>
      <c r="Q18" s="140"/>
      <c r="R18" s="140"/>
      <c r="S18" s="141"/>
      <c r="T18" s="142"/>
      <c r="U18" s="142"/>
      <c r="V18" s="142"/>
      <c r="W18" s="142"/>
      <c r="X18" s="140"/>
      <c r="Y18" s="140"/>
      <c r="Z18" s="143"/>
      <c r="AA18" s="143"/>
      <c r="AB18" s="144"/>
      <c r="AC18" s="145"/>
      <c r="AD18" s="148">
        <f t="shared" si="0"/>
        <v>40000</v>
      </c>
      <c r="AE18" s="146"/>
      <c r="AF18" s="126">
        <v>40000</v>
      </c>
      <c r="AG18" s="91">
        <f t="shared" si="2"/>
        <v>40000</v>
      </c>
      <c r="AH18" s="81"/>
      <c r="AI18" s="75">
        <f t="shared" si="1"/>
        <v>0</v>
      </c>
    </row>
    <row r="19" spans="1:35" s="147" customFormat="1" ht="19.5">
      <c r="A19" s="138"/>
      <c r="B19" s="151" t="s">
        <v>164</v>
      </c>
      <c r="C19" s="139"/>
      <c r="D19" s="124" t="s">
        <v>217</v>
      </c>
      <c r="E19" s="17"/>
      <c r="F19" s="17"/>
      <c r="G19" s="17"/>
      <c r="H19" s="17"/>
      <c r="I19" s="17"/>
      <c r="J19" s="138"/>
      <c r="K19" s="138"/>
      <c r="L19" s="138"/>
      <c r="M19" s="138"/>
      <c r="N19" s="138"/>
      <c r="O19" s="138"/>
      <c r="P19" s="138"/>
      <c r="Q19" s="140"/>
      <c r="R19" s="140"/>
      <c r="S19" s="141"/>
      <c r="T19" s="142"/>
      <c r="U19" s="142"/>
      <c r="V19" s="142"/>
      <c r="W19" s="142"/>
      <c r="X19" s="140"/>
      <c r="Y19" s="140"/>
      <c r="Z19" s="143"/>
      <c r="AA19" s="143"/>
      <c r="AB19" s="144"/>
      <c r="AC19" s="145"/>
      <c r="AD19" s="148">
        <f t="shared" si="0"/>
        <v>72000</v>
      </c>
      <c r="AE19" s="146"/>
      <c r="AF19" s="126">
        <v>72000</v>
      </c>
      <c r="AG19" s="91">
        <f t="shared" si="2"/>
        <v>72000</v>
      </c>
      <c r="AH19" s="81"/>
      <c r="AI19" s="75">
        <f t="shared" si="1"/>
        <v>0</v>
      </c>
    </row>
    <row r="20" spans="1:35" s="147" customFormat="1" ht="19.5">
      <c r="A20" s="138"/>
      <c r="B20" s="151" t="s">
        <v>0</v>
      </c>
      <c r="C20" s="139"/>
      <c r="D20" s="124" t="s">
        <v>218</v>
      </c>
      <c r="E20" s="17"/>
      <c r="F20" s="17"/>
      <c r="G20" s="17"/>
      <c r="H20" s="17"/>
      <c r="I20" s="17"/>
      <c r="J20" s="138"/>
      <c r="K20" s="138"/>
      <c r="L20" s="138"/>
      <c r="M20" s="138"/>
      <c r="N20" s="138"/>
      <c r="O20" s="138"/>
      <c r="P20" s="138"/>
      <c r="Q20" s="140"/>
      <c r="R20" s="140"/>
      <c r="S20" s="141"/>
      <c r="T20" s="142"/>
      <c r="U20" s="142"/>
      <c r="V20" s="142"/>
      <c r="W20" s="142"/>
      <c r="X20" s="140"/>
      <c r="Y20" s="140"/>
      <c r="Z20" s="143"/>
      <c r="AA20" s="143"/>
      <c r="AB20" s="144"/>
      <c r="AC20" s="145"/>
      <c r="AD20" s="148">
        <f t="shared" si="0"/>
        <v>72000</v>
      </c>
      <c r="AE20" s="146"/>
      <c r="AF20" s="126">
        <v>72000</v>
      </c>
      <c r="AG20" s="91">
        <f t="shared" si="2"/>
        <v>72000</v>
      </c>
      <c r="AH20" s="81"/>
      <c r="AI20" s="75">
        <f t="shared" si="1"/>
        <v>0</v>
      </c>
    </row>
    <row r="21" spans="1:35" s="147" customFormat="1" ht="37.5">
      <c r="A21" s="138"/>
      <c r="B21" s="151" t="s">
        <v>1</v>
      </c>
      <c r="C21" s="139"/>
      <c r="D21" s="216" t="s">
        <v>227</v>
      </c>
      <c r="E21" s="17"/>
      <c r="F21" s="17"/>
      <c r="G21" s="17"/>
      <c r="H21" s="17"/>
      <c r="I21" s="17"/>
      <c r="J21" s="138"/>
      <c r="K21" s="138"/>
      <c r="L21" s="138"/>
      <c r="M21" s="138"/>
      <c r="N21" s="138"/>
      <c r="O21" s="138"/>
      <c r="P21" s="138"/>
      <c r="Q21" s="140"/>
      <c r="R21" s="140"/>
      <c r="S21" s="141"/>
      <c r="T21" s="142"/>
      <c r="U21" s="142"/>
      <c r="V21" s="142"/>
      <c r="W21" s="142"/>
      <c r="X21" s="140"/>
      <c r="Y21" s="140"/>
      <c r="Z21" s="143"/>
      <c r="AA21" s="143"/>
      <c r="AB21" s="144"/>
      <c r="AC21" s="145"/>
      <c r="AD21" s="148">
        <f t="shared" si="0"/>
        <v>112000</v>
      </c>
      <c r="AE21" s="146"/>
      <c r="AF21" s="126">
        <v>112000</v>
      </c>
      <c r="AG21" s="91">
        <f t="shared" si="2"/>
        <v>112000</v>
      </c>
      <c r="AH21" s="81"/>
      <c r="AI21" s="75">
        <f t="shared" si="1"/>
        <v>0</v>
      </c>
    </row>
    <row r="22" spans="1:35" s="147" customFormat="1" ht="37.5">
      <c r="A22" s="138"/>
      <c r="B22" s="151" t="s">
        <v>2</v>
      </c>
      <c r="C22" s="139"/>
      <c r="D22" s="216" t="s">
        <v>228</v>
      </c>
      <c r="E22" s="17"/>
      <c r="F22" s="17"/>
      <c r="G22" s="17"/>
      <c r="H22" s="17"/>
      <c r="I22" s="17"/>
      <c r="J22" s="138"/>
      <c r="K22" s="138"/>
      <c r="L22" s="138"/>
      <c r="M22" s="138"/>
      <c r="N22" s="138"/>
      <c r="O22" s="138"/>
      <c r="P22" s="138"/>
      <c r="Q22" s="140"/>
      <c r="R22" s="140"/>
      <c r="S22" s="141"/>
      <c r="T22" s="142"/>
      <c r="U22" s="142"/>
      <c r="V22" s="142"/>
      <c r="W22" s="142"/>
      <c r="X22" s="140"/>
      <c r="Y22" s="140"/>
      <c r="Z22" s="143"/>
      <c r="AA22" s="143"/>
      <c r="AB22" s="144"/>
      <c r="AC22" s="145"/>
      <c r="AD22" s="148">
        <f t="shared" si="0"/>
        <v>238000</v>
      </c>
      <c r="AE22" s="146"/>
      <c r="AF22" s="126">
        <v>238000</v>
      </c>
      <c r="AG22" s="91">
        <f t="shared" si="2"/>
        <v>238000</v>
      </c>
      <c r="AH22" s="81"/>
      <c r="AI22" s="75">
        <f t="shared" si="1"/>
        <v>0</v>
      </c>
    </row>
    <row r="23" spans="1:35" s="147" customFormat="1" ht="37.5">
      <c r="A23" s="138"/>
      <c r="B23" s="151" t="s">
        <v>3</v>
      </c>
      <c r="C23" s="139"/>
      <c r="D23" s="216" t="s">
        <v>229</v>
      </c>
      <c r="E23" s="17"/>
      <c r="F23" s="17"/>
      <c r="G23" s="17"/>
      <c r="H23" s="17"/>
      <c r="I23" s="17"/>
      <c r="J23" s="138"/>
      <c r="K23" s="138"/>
      <c r="L23" s="138"/>
      <c r="M23" s="138"/>
      <c r="N23" s="138"/>
      <c r="O23" s="138"/>
      <c r="P23" s="138"/>
      <c r="Q23" s="140"/>
      <c r="R23" s="140"/>
      <c r="S23" s="141"/>
      <c r="T23" s="142"/>
      <c r="U23" s="142"/>
      <c r="V23" s="142"/>
      <c r="W23" s="142"/>
      <c r="X23" s="140"/>
      <c r="Y23" s="140"/>
      <c r="Z23" s="143"/>
      <c r="AA23" s="143"/>
      <c r="AB23" s="144"/>
      <c r="AC23" s="145"/>
      <c r="AD23" s="148">
        <f t="shared" si="0"/>
        <v>238000</v>
      </c>
      <c r="AE23" s="146"/>
      <c r="AF23" s="126">
        <v>238000</v>
      </c>
      <c r="AG23" s="91">
        <f t="shared" si="2"/>
        <v>238000</v>
      </c>
      <c r="AH23" s="81"/>
      <c r="AI23" s="75">
        <f t="shared" si="1"/>
        <v>0</v>
      </c>
    </row>
    <row r="24" spans="1:35" s="147" customFormat="1" ht="37.5">
      <c r="A24" s="138"/>
      <c r="B24" s="151" t="s">
        <v>4</v>
      </c>
      <c r="C24" s="139"/>
      <c r="D24" s="216" t="s">
        <v>230</v>
      </c>
      <c r="E24" s="17"/>
      <c r="F24" s="17"/>
      <c r="G24" s="17"/>
      <c r="H24" s="17"/>
      <c r="I24" s="17"/>
      <c r="J24" s="138"/>
      <c r="K24" s="138"/>
      <c r="L24" s="138"/>
      <c r="M24" s="138"/>
      <c r="N24" s="138"/>
      <c r="O24" s="138"/>
      <c r="P24" s="138"/>
      <c r="Q24" s="140"/>
      <c r="R24" s="140"/>
      <c r="S24" s="141"/>
      <c r="T24" s="142"/>
      <c r="U24" s="142"/>
      <c r="V24" s="142"/>
      <c r="W24" s="142"/>
      <c r="X24" s="140"/>
      <c r="Y24" s="140"/>
      <c r="Z24" s="143"/>
      <c r="AA24" s="143"/>
      <c r="AB24" s="144"/>
      <c r="AC24" s="145"/>
      <c r="AD24" s="148">
        <f t="shared" si="0"/>
        <v>100000</v>
      </c>
      <c r="AE24" s="146"/>
      <c r="AF24" s="126">
        <v>100000</v>
      </c>
      <c r="AG24" s="91">
        <f t="shared" si="2"/>
        <v>100000</v>
      </c>
      <c r="AH24" s="81"/>
      <c r="AI24" s="75">
        <f t="shared" si="1"/>
        <v>0</v>
      </c>
    </row>
    <row r="25" spans="1:35" s="147" customFormat="1" ht="37.5">
      <c r="A25" s="138"/>
      <c r="B25" s="151" t="s">
        <v>5</v>
      </c>
      <c r="C25" s="139"/>
      <c r="D25" s="216" t="s">
        <v>231</v>
      </c>
      <c r="E25" s="17"/>
      <c r="F25" s="17"/>
      <c r="G25" s="17"/>
      <c r="H25" s="17"/>
      <c r="I25" s="17"/>
      <c r="J25" s="138"/>
      <c r="K25" s="138"/>
      <c r="L25" s="138"/>
      <c r="M25" s="138"/>
      <c r="N25" s="138"/>
      <c r="O25" s="138"/>
      <c r="P25" s="138"/>
      <c r="Q25" s="140"/>
      <c r="R25" s="140"/>
      <c r="S25" s="141"/>
      <c r="T25" s="142"/>
      <c r="U25" s="142"/>
      <c r="V25" s="142"/>
      <c r="W25" s="142"/>
      <c r="X25" s="140"/>
      <c r="Y25" s="140"/>
      <c r="Z25" s="143"/>
      <c r="AA25" s="143"/>
      <c r="AB25" s="144"/>
      <c r="AC25" s="145"/>
      <c r="AD25" s="148">
        <f t="shared" si="0"/>
        <v>100000</v>
      </c>
      <c r="AE25" s="146"/>
      <c r="AF25" s="126">
        <v>100000</v>
      </c>
      <c r="AG25" s="91">
        <f t="shared" si="2"/>
        <v>100000</v>
      </c>
      <c r="AH25" s="81"/>
      <c r="AI25" s="75">
        <f t="shared" si="1"/>
        <v>0</v>
      </c>
    </row>
    <row r="26" spans="1:35" s="147" customFormat="1" ht="37.5">
      <c r="A26" s="138"/>
      <c r="B26" s="151" t="s">
        <v>6</v>
      </c>
      <c r="C26" s="139"/>
      <c r="D26" s="216" t="s">
        <v>232</v>
      </c>
      <c r="E26" s="17"/>
      <c r="F26" s="17"/>
      <c r="G26" s="17"/>
      <c r="H26" s="17"/>
      <c r="I26" s="17"/>
      <c r="J26" s="138"/>
      <c r="K26" s="138"/>
      <c r="L26" s="138"/>
      <c r="M26" s="138"/>
      <c r="N26" s="138"/>
      <c r="O26" s="138"/>
      <c r="P26" s="138"/>
      <c r="Q26" s="140"/>
      <c r="R26" s="140"/>
      <c r="S26" s="141"/>
      <c r="T26" s="142"/>
      <c r="U26" s="142"/>
      <c r="V26" s="142"/>
      <c r="W26" s="142"/>
      <c r="X26" s="140"/>
      <c r="Y26" s="140"/>
      <c r="Z26" s="143"/>
      <c r="AA26" s="143"/>
      <c r="AB26" s="144"/>
      <c r="AC26" s="145"/>
      <c r="AD26" s="148">
        <f t="shared" si="0"/>
        <v>121000</v>
      </c>
      <c r="AE26" s="146"/>
      <c r="AF26" s="126">
        <v>121000</v>
      </c>
      <c r="AG26" s="91">
        <f t="shared" si="2"/>
        <v>121000</v>
      </c>
      <c r="AH26" s="81"/>
      <c r="AI26" s="75">
        <f t="shared" si="1"/>
        <v>0</v>
      </c>
    </row>
    <row r="27" spans="1:35" s="147" customFormat="1" ht="37.5">
      <c r="A27" s="138"/>
      <c r="B27" s="151" t="s">
        <v>7</v>
      </c>
      <c r="C27" s="139"/>
      <c r="D27" s="216" t="s">
        <v>233</v>
      </c>
      <c r="E27" s="17"/>
      <c r="F27" s="17"/>
      <c r="G27" s="17"/>
      <c r="H27" s="17"/>
      <c r="I27" s="17"/>
      <c r="J27" s="138"/>
      <c r="K27" s="138"/>
      <c r="L27" s="138"/>
      <c r="M27" s="138"/>
      <c r="N27" s="138"/>
      <c r="O27" s="138"/>
      <c r="P27" s="138"/>
      <c r="Q27" s="140"/>
      <c r="R27" s="140"/>
      <c r="S27" s="141"/>
      <c r="T27" s="142"/>
      <c r="U27" s="142"/>
      <c r="V27" s="142"/>
      <c r="W27" s="142"/>
      <c r="X27" s="140"/>
      <c r="Y27" s="140"/>
      <c r="Z27" s="143"/>
      <c r="AA27" s="143"/>
      <c r="AB27" s="144"/>
      <c r="AC27" s="145"/>
      <c r="AD27" s="148">
        <f t="shared" si="0"/>
        <v>130000</v>
      </c>
      <c r="AE27" s="146"/>
      <c r="AF27" s="126">
        <v>130000</v>
      </c>
      <c r="AG27" s="91">
        <f t="shared" si="2"/>
        <v>130000</v>
      </c>
      <c r="AH27" s="81"/>
      <c r="AI27" s="75">
        <f t="shared" si="1"/>
        <v>0</v>
      </c>
    </row>
    <row r="28" spans="1:35" s="147" customFormat="1" ht="37.5">
      <c r="A28" s="138"/>
      <c r="B28" s="151" t="s">
        <v>8</v>
      </c>
      <c r="C28" s="139"/>
      <c r="D28" s="216" t="s">
        <v>234</v>
      </c>
      <c r="E28" s="17"/>
      <c r="F28" s="17"/>
      <c r="G28" s="17"/>
      <c r="H28" s="17"/>
      <c r="I28" s="17"/>
      <c r="J28" s="138"/>
      <c r="K28" s="138"/>
      <c r="L28" s="138"/>
      <c r="M28" s="138"/>
      <c r="N28" s="138"/>
      <c r="O28" s="138"/>
      <c r="P28" s="138"/>
      <c r="Q28" s="140"/>
      <c r="R28" s="140"/>
      <c r="S28" s="141"/>
      <c r="T28" s="142"/>
      <c r="U28" s="142"/>
      <c r="V28" s="142"/>
      <c r="W28" s="142"/>
      <c r="X28" s="140"/>
      <c r="Y28" s="140"/>
      <c r="Z28" s="143"/>
      <c r="AA28" s="143"/>
      <c r="AB28" s="144"/>
      <c r="AC28" s="145"/>
      <c r="AD28" s="148">
        <f t="shared" si="0"/>
        <v>50000</v>
      </c>
      <c r="AE28" s="146"/>
      <c r="AF28" s="126">
        <v>50000</v>
      </c>
      <c r="AG28" s="91">
        <f t="shared" si="2"/>
        <v>50000</v>
      </c>
      <c r="AH28" s="81"/>
      <c r="AI28" s="75">
        <f t="shared" si="1"/>
        <v>0</v>
      </c>
    </row>
    <row r="29" spans="1:35" s="147" customFormat="1" ht="37.5">
      <c r="A29" s="138"/>
      <c r="B29" s="151" t="s">
        <v>9</v>
      </c>
      <c r="C29" s="139"/>
      <c r="D29" s="129" t="s">
        <v>195</v>
      </c>
      <c r="E29" s="17"/>
      <c r="F29" s="17"/>
      <c r="G29" s="17"/>
      <c r="H29" s="17"/>
      <c r="I29" s="17"/>
      <c r="J29" s="138"/>
      <c r="K29" s="138"/>
      <c r="L29" s="138"/>
      <c r="M29" s="138"/>
      <c r="N29" s="138"/>
      <c r="O29" s="138"/>
      <c r="P29" s="138"/>
      <c r="Q29" s="140"/>
      <c r="R29" s="140"/>
      <c r="S29" s="141"/>
      <c r="T29" s="142"/>
      <c r="U29" s="142"/>
      <c r="V29" s="142"/>
      <c r="W29" s="142"/>
      <c r="X29" s="140"/>
      <c r="Y29" s="140"/>
      <c r="Z29" s="143"/>
      <c r="AA29" s="143"/>
      <c r="AB29" s="144"/>
      <c r="AC29" s="145"/>
      <c r="AD29" s="148">
        <f t="shared" si="0"/>
        <v>42000</v>
      </c>
      <c r="AE29" s="146"/>
      <c r="AF29" s="126">
        <v>42000</v>
      </c>
      <c r="AG29" s="91">
        <f t="shared" si="2"/>
        <v>42000</v>
      </c>
      <c r="AH29" s="81"/>
      <c r="AI29" s="75">
        <f t="shared" si="1"/>
        <v>0</v>
      </c>
    </row>
    <row r="30" spans="1:35" s="147" customFormat="1" ht="37.5">
      <c r="A30" s="138"/>
      <c r="B30" s="151" t="s">
        <v>10</v>
      </c>
      <c r="C30" s="139"/>
      <c r="D30" s="129" t="s">
        <v>196</v>
      </c>
      <c r="E30" s="17"/>
      <c r="F30" s="17"/>
      <c r="G30" s="17"/>
      <c r="H30" s="17"/>
      <c r="I30" s="17"/>
      <c r="J30" s="138"/>
      <c r="K30" s="138"/>
      <c r="L30" s="138"/>
      <c r="M30" s="138"/>
      <c r="N30" s="138"/>
      <c r="O30" s="138"/>
      <c r="P30" s="138"/>
      <c r="Q30" s="140"/>
      <c r="R30" s="140"/>
      <c r="S30" s="141"/>
      <c r="T30" s="142"/>
      <c r="U30" s="142"/>
      <c r="V30" s="142"/>
      <c r="W30" s="142"/>
      <c r="X30" s="140"/>
      <c r="Y30" s="140"/>
      <c r="Z30" s="143"/>
      <c r="AA30" s="143"/>
      <c r="AB30" s="144"/>
      <c r="AC30" s="145"/>
      <c r="AD30" s="148">
        <f t="shared" si="0"/>
        <v>265000</v>
      </c>
      <c r="AE30" s="146"/>
      <c r="AF30" s="126">
        <v>265000</v>
      </c>
      <c r="AG30" s="91">
        <f t="shared" si="2"/>
        <v>265000</v>
      </c>
      <c r="AH30" s="81"/>
      <c r="AI30" s="75">
        <f t="shared" si="1"/>
        <v>0</v>
      </c>
    </row>
    <row r="31" spans="1:35" s="147" customFormat="1" ht="37.5">
      <c r="A31" s="138"/>
      <c r="B31" s="151" t="s">
        <v>11</v>
      </c>
      <c r="C31" s="139"/>
      <c r="D31" s="129" t="s">
        <v>191</v>
      </c>
      <c r="E31" s="17"/>
      <c r="F31" s="17"/>
      <c r="G31" s="17"/>
      <c r="H31" s="17"/>
      <c r="I31" s="17"/>
      <c r="J31" s="138"/>
      <c r="K31" s="138"/>
      <c r="L31" s="138"/>
      <c r="M31" s="138"/>
      <c r="N31" s="138"/>
      <c r="O31" s="138"/>
      <c r="P31" s="138"/>
      <c r="Q31" s="140"/>
      <c r="R31" s="140"/>
      <c r="S31" s="141"/>
      <c r="T31" s="142"/>
      <c r="U31" s="142"/>
      <c r="V31" s="142"/>
      <c r="W31" s="142"/>
      <c r="X31" s="140"/>
      <c r="Y31" s="140"/>
      <c r="Z31" s="143"/>
      <c r="AA31" s="143"/>
      <c r="AB31" s="144"/>
      <c r="AC31" s="145"/>
      <c r="AD31" s="148">
        <f t="shared" si="0"/>
        <v>100000</v>
      </c>
      <c r="AE31" s="146"/>
      <c r="AF31" s="126">
        <v>100000</v>
      </c>
      <c r="AG31" s="91">
        <f t="shared" si="2"/>
        <v>100000</v>
      </c>
      <c r="AH31" s="81"/>
      <c r="AI31" s="75">
        <f t="shared" si="1"/>
        <v>0</v>
      </c>
    </row>
    <row r="32" spans="1:35" s="147" customFormat="1" ht="37.5">
      <c r="A32" s="138"/>
      <c r="B32" s="151" t="s">
        <v>12</v>
      </c>
      <c r="C32" s="139"/>
      <c r="D32" s="129" t="s">
        <v>197</v>
      </c>
      <c r="E32" s="17"/>
      <c r="F32" s="17"/>
      <c r="G32" s="17"/>
      <c r="H32" s="17"/>
      <c r="I32" s="17"/>
      <c r="J32" s="138"/>
      <c r="K32" s="138"/>
      <c r="L32" s="138"/>
      <c r="M32" s="138"/>
      <c r="N32" s="138"/>
      <c r="O32" s="138"/>
      <c r="P32" s="138"/>
      <c r="Q32" s="140"/>
      <c r="R32" s="140"/>
      <c r="S32" s="141"/>
      <c r="T32" s="142"/>
      <c r="U32" s="142"/>
      <c r="V32" s="142"/>
      <c r="W32" s="142"/>
      <c r="X32" s="140"/>
      <c r="Y32" s="140"/>
      <c r="Z32" s="143"/>
      <c r="AA32" s="143"/>
      <c r="AB32" s="144"/>
      <c r="AC32" s="145"/>
      <c r="AD32" s="148">
        <f t="shared" si="0"/>
        <v>265000</v>
      </c>
      <c r="AE32" s="146"/>
      <c r="AF32" s="126">
        <v>265000</v>
      </c>
      <c r="AG32" s="91">
        <f t="shared" si="2"/>
        <v>265000</v>
      </c>
      <c r="AH32" s="81"/>
      <c r="AI32" s="75">
        <f t="shared" si="1"/>
        <v>0</v>
      </c>
    </row>
    <row r="33" spans="1:35" s="147" customFormat="1" ht="19.5">
      <c r="A33" s="138"/>
      <c r="B33" s="151" t="s">
        <v>13</v>
      </c>
      <c r="C33" s="139"/>
      <c r="D33" s="129" t="s">
        <v>198</v>
      </c>
      <c r="E33" s="17"/>
      <c r="F33" s="17"/>
      <c r="G33" s="17"/>
      <c r="H33" s="17"/>
      <c r="I33" s="17"/>
      <c r="J33" s="138"/>
      <c r="K33" s="138"/>
      <c r="L33" s="138"/>
      <c r="M33" s="138"/>
      <c r="N33" s="138"/>
      <c r="O33" s="138"/>
      <c r="P33" s="138"/>
      <c r="Q33" s="140"/>
      <c r="R33" s="140"/>
      <c r="S33" s="141"/>
      <c r="T33" s="142"/>
      <c r="U33" s="142"/>
      <c r="V33" s="142"/>
      <c r="W33" s="142"/>
      <c r="X33" s="140"/>
      <c r="Y33" s="140"/>
      <c r="Z33" s="143"/>
      <c r="AA33" s="143"/>
      <c r="AB33" s="144"/>
      <c r="AC33" s="145"/>
      <c r="AD33" s="148">
        <f t="shared" si="0"/>
        <v>400000</v>
      </c>
      <c r="AE33" s="146"/>
      <c r="AF33" s="126">
        <v>400000</v>
      </c>
      <c r="AG33" s="91">
        <f t="shared" si="2"/>
        <v>400000</v>
      </c>
      <c r="AH33" s="81"/>
      <c r="AI33" s="75">
        <f t="shared" si="1"/>
        <v>0</v>
      </c>
    </row>
    <row r="34" spans="1:35" s="147" customFormat="1" ht="37.5">
      <c r="A34" s="138"/>
      <c r="B34" s="151" t="s">
        <v>14</v>
      </c>
      <c r="C34" s="139"/>
      <c r="D34" s="129" t="s">
        <v>199</v>
      </c>
      <c r="E34" s="17"/>
      <c r="F34" s="17"/>
      <c r="G34" s="17"/>
      <c r="H34" s="17"/>
      <c r="I34" s="17"/>
      <c r="J34" s="138"/>
      <c r="K34" s="138"/>
      <c r="L34" s="138"/>
      <c r="M34" s="138"/>
      <c r="N34" s="138"/>
      <c r="O34" s="138"/>
      <c r="P34" s="138"/>
      <c r="Q34" s="140"/>
      <c r="R34" s="140"/>
      <c r="S34" s="141"/>
      <c r="T34" s="142"/>
      <c r="U34" s="142"/>
      <c r="V34" s="142"/>
      <c r="W34" s="142"/>
      <c r="X34" s="140"/>
      <c r="Y34" s="140"/>
      <c r="Z34" s="143"/>
      <c r="AA34" s="143"/>
      <c r="AB34" s="144"/>
      <c r="AC34" s="145"/>
      <c r="AD34" s="148">
        <f t="shared" si="0"/>
        <v>2493000</v>
      </c>
      <c r="AE34" s="146"/>
      <c r="AF34" s="126">
        <v>2493000</v>
      </c>
      <c r="AG34" s="91">
        <f t="shared" si="2"/>
        <v>2493000</v>
      </c>
      <c r="AH34" s="81"/>
      <c r="AI34" s="75">
        <f t="shared" si="1"/>
        <v>0</v>
      </c>
    </row>
    <row r="35" spans="1:35" s="147" customFormat="1" ht="19.5">
      <c r="A35" s="138"/>
      <c r="B35" s="151" t="s">
        <v>15</v>
      </c>
      <c r="C35" s="139"/>
      <c r="D35" s="129" t="s">
        <v>200</v>
      </c>
      <c r="E35" s="17"/>
      <c r="F35" s="17"/>
      <c r="G35" s="17"/>
      <c r="H35" s="17"/>
      <c r="I35" s="17"/>
      <c r="J35" s="138"/>
      <c r="K35" s="138"/>
      <c r="L35" s="138"/>
      <c r="M35" s="138"/>
      <c r="N35" s="138"/>
      <c r="O35" s="138"/>
      <c r="P35" s="138"/>
      <c r="Q35" s="140"/>
      <c r="R35" s="140"/>
      <c r="S35" s="141"/>
      <c r="T35" s="142"/>
      <c r="U35" s="142"/>
      <c r="V35" s="142"/>
      <c r="W35" s="142"/>
      <c r="X35" s="140"/>
      <c r="Y35" s="140"/>
      <c r="Z35" s="143"/>
      <c r="AA35" s="143"/>
      <c r="AB35" s="144"/>
      <c r="AC35" s="145"/>
      <c r="AD35" s="148">
        <f t="shared" si="0"/>
        <v>2087910</v>
      </c>
      <c r="AE35" s="146"/>
      <c r="AF35" s="127">
        <v>2087910</v>
      </c>
      <c r="AG35" s="91">
        <f t="shared" si="2"/>
        <v>2087910</v>
      </c>
      <c r="AH35" s="91"/>
      <c r="AI35" s="75">
        <f t="shared" si="1"/>
        <v>0</v>
      </c>
    </row>
    <row r="36" spans="1:35" s="147" customFormat="1" ht="37.5">
      <c r="A36" s="138"/>
      <c r="B36" s="151" t="s">
        <v>16</v>
      </c>
      <c r="C36" s="139"/>
      <c r="D36" s="128" t="s">
        <v>201</v>
      </c>
      <c r="E36" s="17"/>
      <c r="F36" s="17"/>
      <c r="G36" s="17"/>
      <c r="H36" s="17"/>
      <c r="I36" s="17"/>
      <c r="J36" s="138"/>
      <c r="K36" s="138"/>
      <c r="L36" s="138"/>
      <c r="M36" s="138"/>
      <c r="N36" s="138"/>
      <c r="O36" s="138"/>
      <c r="P36" s="138"/>
      <c r="Q36" s="140"/>
      <c r="R36" s="140"/>
      <c r="S36" s="141"/>
      <c r="T36" s="142"/>
      <c r="U36" s="142"/>
      <c r="V36" s="142"/>
      <c r="W36" s="142"/>
      <c r="X36" s="140"/>
      <c r="Y36" s="140"/>
      <c r="Z36" s="143"/>
      <c r="AA36" s="143"/>
      <c r="AB36" s="144"/>
      <c r="AC36" s="145"/>
      <c r="AD36" s="148">
        <f t="shared" si="0"/>
        <v>505000</v>
      </c>
      <c r="AE36" s="146"/>
      <c r="AF36" s="127">
        <v>505000</v>
      </c>
      <c r="AG36" s="91">
        <f t="shared" si="2"/>
        <v>505000</v>
      </c>
      <c r="AH36" s="91">
        <f>232868+127807.6</f>
        <v>360675.6</v>
      </c>
      <c r="AI36" s="75">
        <f t="shared" si="1"/>
        <v>71.42091089108911</v>
      </c>
    </row>
    <row r="37" spans="1:35" s="147" customFormat="1" ht="37.5">
      <c r="A37" s="138"/>
      <c r="B37" s="151" t="s">
        <v>17</v>
      </c>
      <c r="C37" s="139"/>
      <c r="D37" s="128" t="s">
        <v>202</v>
      </c>
      <c r="E37" s="17"/>
      <c r="F37" s="17"/>
      <c r="G37" s="17"/>
      <c r="H37" s="17"/>
      <c r="I37" s="17"/>
      <c r="J37" s="138"/>
      <c r="K37" s="138"/>
      <c r="L37" s="138"/>
      <c r="M37" s="138"/>
      <c r="N37" s="138"/>
      <c r="O37" s="138"/>
      <c r="P37" s="138"/>
      <c r="Q37" s="140"/>
      <c r="R37" s="140"/>
      <c r="S37" s="141"/>
      <c r="T37" s="142"/>
      <c r="U37" s="142"/>
      <c r="V37" s="142"/>
      <c r="W37" s="142"/>
      <c r="X37" s="140"/>
      <c r="Y37" s="140"/>
      <c r="Z37" s="143"/>
      <c r="AA37" s="143"/>
      <c r="AB37" s="144"/>
      <c r="AC37" s="145"/>
      <c r="AD37" s="148">
        <f t="shared" si="0"/>
        <v>350000</v>
      </c>
      <c r="AE37" s="146"/>
      <c r="AF37" s="127">
        <v>350000</v>
      </c>
      <c r="AG37" s="91">
        <f t="shared" si="2"/>
        <v>350000</v>
      </c>
      <c r="AH37" s="81"/>
      <c r="AI37" s="75">
        <f t="shared" si="1"/>
        <v>0</v>
      </c>
    </row>
    <row r="38" spans="1:35" s="147" customFormat="1" ht="19.5">
      <c r="A38" s="138"/>
      <c r="B38" s="151" t="s">
        <v>18</v>
      </c>
      <c r="C38" s="139"/>
      <c r="D38" s="128" t="s">
        <v>203</v>
      </c>
      <c r="E38" s="17"/>
      <c r="F38" s="17"/>
      <c r="G38" s="17"/>
      <c r="H38" s="17"/>
      <c r="I38" s="17"/>
      <c r="J38" s="138"/>
      <c r="K38" s="138"/>
      <c r="L38" s="138"/>
      <c r="M38" s="138"/>
      <c r="N38" s="138"/>
      <c r="O38" s="138"/>
      <c r="P38" s="138"/>
      <c r="Q38" s="140"/>
      <c r="R38" s="140"/>
      <c r="S38" s="141"/>
      <c r="T38" s="142"/>
      <c r="U38" s="142"/>
      <c r="V38" s="142"/>
      <c r="W38" s="142"/>
      <c r="X38" s="140"/>
      <c r="Y38" s="140"/>
      <c r="Z38" s="143"/>
      <c r="AA38" s="143"/>
      <c r="AB38" s="144"/>
      <c r="AC38" s="145"/>
      <c r="AD38" s="148">
        <f t="shared" si="0"/>
        <v>300000</v>
      </c>
      <c r="AE38" s="146"/>
      <c r="AF38" s="127">
        <v>300000</v>
      </c>
      <c r="AG38" s="91">
        <f t="shared" si="2"/>
        <v>300000</v>
      </c>
      <c r="AH38" s="91">
        <v>149555.88</v>
      </c>
      <c r="AI38" s="75">
        <f t="shared" si="1"/>
        <v>49.85196</v>
      </c>
    </row>
    <row r="39" spans="1:35" s="147" customFormat="1" ht="37.5">
      <c r="A39" s="138"/>
      <c r="B39" s="151" t="s">
        <v>19</v>
      </c>
      <c r="C39" s="139"/>
      <c r="D39" s="128" t="s">
        <v>204</v>
      </c>
      <c r="E39" s="17"/>
      <c r="F39" s="17"/>
      <c r="G39" s="17"/>
      <c r="H39" s="17"/>
      <c r="I39" s="17"/>
      <c r="J39" s="138"/>
      <c r="K39" s="138"/>
      <c r="L39" s="138"/>
      <c r="M39" s="138"/>
      <c r="N39" s="138"/>
      <c r="O39" s="138"/>
      <c r="P39" s="138"/>
      <c r="Q39" s="140"/>
      <c r="R39" s="140"/>
      <c r="S39" s="141"/>
      <c r="T39" s="142"/>
      <c r="U39" s="142"/>
      <c r="V39" s="142"/>
      <c r="W39" s="142"/>
      <c r="X39" s="140"/>
      <c r="Y39" s="140"/>
      <c r="Z39" s="143"/>
      <c r="AA39" s="143"/>
      <c r="AB39" s="144"/>
      <c r="AC39" s="145"/>
      <c r="AD39" s="148">
        <f t="shared" si="0"/>
        <v>595000</v>
      </c>
      <c r="AE39" s="146"/>
      <c r="AF39" s="127">
        <v>595000</v>
      </c>
      <c r="AG39" s="91">
        <f t="shared" si="2"/>
        <v>595000</v>
      </c>
      <c r="AH39" s="81"/>
      <c r="AI39" s="75">
        <f t="shared" si="1"/>
        <v>0</v>
      </c>
    </row>
    <row r="40" spans="1:35" s="147" customFormat="1" ht="37.5">
      <c r="A40" s="138"/>
      <c r="B40" s="151" t="s">
        <v>20</v>
      </c>
      <c r="C40" s="139"/>
      <c r="D40" s="124" t="s">
        <v>205</v>
      </c>
      <c r="E40" s="17"/>
      <c r="F40" s="17"/>
      <c r="G40" s="17"/>
      <c r="H40" s="17"/>
      <c r="I40" s="17"/>
      <c r="J40" s="138"/>
      <c r="K40" s="138"/>
      <c r="L40" s="138"/>
      <c r="M40" s="138"/>
      <c r="N40" s="138"/>
      <c r="O40" s="138"/>
      <c r="P40" s="138"/>
      <c r="Q40" s="140"/>
      <c r="R40" s="140"/>
      <c r="S40" s="141"/>
      <c r="T40" s="142"/>
      <c r="U40" s="142"/>
      <c r="V40" s="142"/>
      <c r="W40" s="142"/>
      <c r="X40" s="140"/>
      <c r="Y40" s="140"/>
      <c r="Z40" s="143"/>
      <c r="AA40" s="143"/>
      <c r="AB40" s="144"/>
      <c r="AC40" s="145"/>
      <c r="AD40" s="148">
        <f aca="true" t="shared" si="3" ref="AD40:AD63">AE40+AF40</f>
        <v>20000</v>
      </c>
      <c r="AE40" s="146"/>
      <c r="AF40" s="127">
        <v>20000</v>
      </c>
      <c r="AG40" s="91">
        <f t="shared" si="2"/>
        <v>20000</v>
      </c>
      <c r="AH40" s="81"/>
      <c r="AI40" s="75">
        <f t="shared" si="1"/>
        <v>0</v>
      </c>
    </row>
    <row r="41" spans="1:35" s="147" customFormat="1" ht="37.5">
      <c r="A41" s="138"/>
      <c r="B41" s="151" t="s">
        <v>21</v>
      </c>
      <c r="C41" s="139"/>
      <c r="D41" s="124" t="s">
        <v>206</v>
      </c>
      <c r="E41" s="17"/>
      <c r="F41" s="17"/>
      <c r="G41" s="17"/>
      <c r="H41" s="17"/>
      <c r="I41" s="17"/>
      <c r="J41" s="138"/>
      <c r="K41" s="138"/>
      <c r="L41" s="138"/>
      <c r="M41" s="138"/>
      <c r="N41" s="138"/>
      <c r="O41" s="138"/>
      <c r="P41" s="138"/>
      <c r="Q41" s="140"/>
      <c r="R41" s="140"/>
      <c r="S41" s="141"/>
      <c r="T41" s="142"/>
      <c r="U41" s="142"/>
      <c r="V41" s="142"/>
      <c r="W41" s="142"/>
      <c r="X41" s="140"/>
      <c r="Y41" s="140"/>
      <c r="Z41" s="143"/>
      <c r="AA41" s="143"/>
      <c r="AB41" s="144"/>
      <c r="AC41" s="145"/>
      <c r="AD41" s="148">
        <f t="shared" si="3"/>
        <v>20000</v>
      </c>
      <c r="AE41" s="146"/>
      <c r="AF41" s="127">
        <v>20000</v>
      </c>
      <c r="AG41" s="91">
        <f t="shared" si="2"/>
        <v>20000</v>
      </c>
      <c r="AH41" s="81"/>
      <c r="AI41" s="75">
        <f t="shared" si="1"/>
        <v>0</v>
      </c>
    </row>
    <row r="42" spans="1:35" s="147" customFormat="1" ht="37.5">
      <c r="A42" s="138"/>
      <c r="B42" s="151" t="s">
        <v>22</v>
      </c>
      <c r="C42" s="139"/>
      <c r="D42" s="124" t="s">
        <v>207</v>
      </c>
      <c r="E42" s="17"/>
      <c r="F42" s="17"/>
      <c r="G42" s="17"/>
      <c r="H42" s="17"/>
      <c r="I42" s="17"/>
      <c r="J42" s="138"/>
      <c r="K42" s="138"/>
      <c r="L42" s="138"/>
      <c r="M42" s="138"/>
      <c r="N42" s="138"/>
      <c r="O42" s="138"/>
      <c r="P42" s="138"/>
      <c r="Q42" s="140"/>
      <c r="R42" s="140"/>
      <c r="S42" s="141"/>
      <c r="T42" s="142"/>
      <c r="U42" s="142"/>
      <c r="V42" s="142"/>
      <c r="W42" s="142"/>
      <c r="X42" s="140"/>
      <c r="Y42" s="140"/>
      <c r="Z42" s="143"/>
      <c r="AA42" s="143"/>
      <c r="AB42" s="144"/>
      <c r="AC42" s="145"/>
      <c r="AD42" s="148">
        <f t="shared" si="3"/>
        <v>20000</v>
      </c>
      <c r="AE42" s="146"/>
      <c r="AF42" s="127">
        <v>20000</v>
      </c>
      <c r="AG42" s="91">
        <f t="shared" si="2"/>
        <v>20000</v>
      </c>
      <c r="AH42" s="81"/>
      <c r="AI42" s="75">
        <f t="shared" si="1"/>
        <v>0</v>
      </c>
    </row>
    <row r="43" spans="1:35" s="147" customFormat="1" ht="37.5">
      <c r="A43" s="138"/>
      <c r="B43" s="151" t="s">
        <v>23</v>
      </c>
      <c r="C43" s="139"/>
      <c r="D43" s="124" t="s">
        <v>208</v>
      </c>
      <c r="E43" s="17"/>
      <c r="F43" s="17"/>
      <c r="G43" s="17"/>
      <c r="H43" s="17"/>
      <c r="I43" s="17"/>
      <c r="J43" s="138"/>
      <c r="K43" s="138"/>
      <c r="L43" s="138"/>
      <c r="M43" s="138"/>
      <c r="N43" s="138"/>
      <c r="O43" s="138"/>
      <c r="P43" s="138"/>
      <c r="Q43" s="140"/>
      <c r="R43" s="140"/>
      <c r="S43" s="141"/>
      <c r="T43" s="142"/>
      <c r="U43" s="142"/>
      <c r="V43" s="142"/>
      <c r="W43" s="142"/>
      <c r="X43" s="140"/>
      <c r="Y43" s="140"/>
      <c r="Z43" s="143"/>
      <c r="AA43" s="143"/>
      <c r="AB43" s="144"/>
      <c r="AC43" s="145"/>
      <c r="AD43" s="148">
        <f t="shared" si="3"/>
        <v>20000</v>
      </c>
      <c r="AE43" s="146"/>
      <c r="AF43" s="127">
        <v>20000</v>
      </c>
      <c r="AG43" s="91">
        <f t="shared" si="2"/>
        <v>20000</v>
      </c>
      <c r="AH43" s="81"/>
      <c r="AI43" s="75">
        <f t="shared" si="1"/>
        <v>0</v>
      </c>
    </row>
    <row r="44" spans="1:35" s="147" customFormat="1" ht="37.5">
      <c r="A44" s="138"/>
      <c r="B44" s="151" t="s">
        <v>24</v>
      </c>
      <c r="C44" s="139"/>
      <c r="D44" s="124" t="s">
        <v>186</v>
      </c>
      <c r="E44" s="17"/>
      <c r="F44" s="17"/>
      <c r="G44" s="17"/>
      <c r="H44" s="17"/>
      <c r="I44" s="17"/>
      <c r="J44" s="138"/>
      <c r="K44" s="138"/>
      <c r="L44" s="138"/>
      <c r="M44" s="138"/>
      <c r="N44" s="138"/>
      <c r="O44" s="138"/>
      <c r="P44" s="138"/>
      <c r="Q44" s="140"/>
      <c r="R44" s="140"/>
      <c r="S44" s="141"/>
      <c r="T44" s="142"/>
      <c r="U44" s="142"/>
      <c r="V44" s="142"/>
      <c r="W44" s="142"/>
      <c r="X44" s="140"/>
      <c r="Y44" s="140"/>
      <c r="Z44" s="143"/>
      <c r="AA44" s="143"/>
      <c r="AB44" s="144"/>
      <c r="AC44" s="145"/>
      <c r="AD44" s="148">
        <f t="shared" si="3"/>
        <v>20000</v>
      </c>
      <c r="AE44" s="146"/>
      <c r="AF44" s="127">
        <v>20000</v>
      </c>
      <c r="AG44" s="91">
        <f t="shared" si="2"/>
        <v>20000</v>
      </c>
      <c r="AH44" s="81"/>
      <c r="AI44" s="75">
        <f t="shared" si="1"/>
        <v>0</v>
      </c>
    </row>
    <row r="45" spans="1:35" s="147" customFormat="1" ht="37.5">
      <c r="A45" s="138"/>
      <c r="B45" s="151" t="s">
        <v>25</v>
      </c>
      <c r="C45" s="139"/>
      <c r="D45" s="124" t="s">
        <v>187</v>
      </c>
      <c r="E45" s="17"/>
      <c r="F45" s="17"/>
      <c r="G45" s="17"/>
      <c r="H45" s="17"/>
      <c r="I45" s="17"/>
      <c r="J45" s="138"/>
      <c r="K45" s="138"/>
      <c r="L45" s="138"/>
      <c r="M45" s="138"/>
      <c r="N45" s="138"/>
      <c r="O45" s="138"/>
      <c r="P45" s="138"/>
      <c r="Q45" s="140"/>
      <c r="R45" s="140"/>
      <c r="S45" s="141"/>
      <c r="T45" s="142"/>
      <c r="U45" s="142"/>
      <c r="V45" s="142"/>
      <c r="W45" s="142"/>
      <c r="X45" s="140"/>
      <c r="Y45" s="140"/>
      <c r="Z45" s="143"/>
      <c r="AA45" s="143"/>
      <c r="AB45" s="144"/>
      <c r="AC45" s="145"/>
      <c r="AD45" s="148">
        <f t="shared" si="3"/>
        <v>20000</v>
      </c>
      <c r="AE45" s="146"/>
      <c r="AF45" s="127">
        <v>20000</v>
      </c>
      <c r="AG45" s="91">
        <f t="shared" si="2"/>
        <v>20000</v>
      </c>
      <c r="AH45" s="81"/>
      <c r="AI45" s="75">
        <f t="shared" si="1"/>
        <v>0</v>
      </c>
    </row>
    <row r="46" spans="1:35" s="147" customFormat="1" ht="37.5">
      <c r="A46" s="138"/>
      <c r="B46" s="151" t="s">
        <v>26</v>
      </c>
      <c r="C46" s="139"/>
      <c r="D46" s="124" t="s">
        <v>240</v>
      </c>
      <c r="E46" s="17"/>
      <c r="F46" s="17"/>
      <c r="G46" s="17"/>
      <c r="H46" s="17"/>
      <c r="I46" s="17"/>
      <c r="J46" s="138"/>
      <c r="K46" s="138"/>
      <c r="L46" s="138"/>
      <c r="M46" s="138"/>
      <c r="N46" s="138"/>
      <c r="O46" s="138"/>
      <c r="P46" s="138"/>
      <c r="Q46" s="140"/>
      <c r="R46" s="140"/>
      <c r="S46" s="141"/>
      <c r="T46" s="142"/>
      <c r="U46" s="142"/>
      <c r="V46" s="142"/>
      <c r="W46" s="142"/>
      <c r="X46" s="140"/>
      <c r="Y46" s="140"/>
      <c r="Z46" s="143"/>
      <c r="AA46" s="143"/>
      <c r="AB46" s="144"/>
      <c r="AC46" s="145"/>
      <c r="AD46" s="148">
        <v>100000</v>
      </c>
      <c r="AE46" s="146"/>
      <c r="AF46" s="127">
        <v>100000</v>
      </c>
      <c r="AG46" s="91">
        <f t="shared" si="2"/>
        <v>100000</v>
      </c>
      <c r="AH46" s="81"/>
      <c r="AI46" s="75">
        <f t="shared" si="1"/>
        <v>0</v>
      </c>
    </row>
    <row r="47" spans="1:35" s="147" customFormat="1" ht="37.5">
      <c r="A47" s="138"/>
      <c r="B47" s="151" t="s">
        <v>241</v>
      </c>
      <c r="C47" s="139"/>
      <c r="D47" s="124" t="s">
        <v>242</v>
      </c>
      <c r="E47" s="17"/>
      <c r="F47" s="17"/>
      <c r="G47" s="17"/>
      <c r="H47" s="17"/>
      <c r="I47" s="17"/>
      <c r="J47" s="138"/>
      <c r="K47" s="138"/>
      <c r="L47" s="138"/>
      <c r="M47" s="138"/>
      <c r="N47" s="138"/>
      <c r="O47" s="138"/>
      <c r="P47" s="138"/>
      <c r="Q47" s="140"/>
      <c r="R47" s="140"/>
      <c r="S47" s="141"/>
      <c r="T47" s="142"/>
      <c r="U47" s="142"/>
      <c r="V47" s="142"/>
      <c r="W47" s="142"/>
      <c r="X47" s="140"/>
      <c r="Y47" s="140"/>
      <c r="Z47" s="143"/>
      <c r="AA47" s="143"/>
      <c r="AB47" s="144"/>
      <c r="AC47" s="145"/>
      <c r="AD47" s="148">
        <v>100000</v>
      </c>
      <c r="AE47" s="146"/>
      <c r="AF47" s="127">
        <v>100000</v>
      </c>
      <c r="AG47" s="91">
        <f t="shared" si="2"/>
        <v>100000</v>
      </c>
      <c r="AH47" s="81"/>
      <c r="AI47" s="75"/>
    </row>
    <row r="48" spans="1:35" s="147" customFormat="1" ht="37.5">
      <c r="A48" s="138"/>
      <c r="B48" s="151" t="s">
        <v>243</v>
      </c>
      <c r="C48" s="139"/>
      <c r="D48" s="124" t="s">
        <v>244</v>
      </c>
      <c r="E48" s="17"/>
      <c r="F48" s="17"/>
      <c r="G48" s="17"/>
      <c r="H48" s="17"/>
      <c r="I48" s="17"/>
      <c r="J48" s="138"/>
      <c r="K48" s="138"/>
      <c r="L48" s="138"/>
      <c r="M48" s="138"/>
      <c r="N48" s="138"/>
      <c r="O48" s="138"/>
      <c r="P48" s="138"/>
      <c r="Q48" s="140"/>
      <c r="R48" s="140"/>
      <c r="S48" s="141"/>
      <c r="T48" s="142"/>
      <c r="U48" s="142"/>
      <c r="V48" s="142"/>
      <c r="W48" s="142"/>
      <c r="X48" s="140"/>
      <c r="Y48" s="140"/>
      <c r="Z48" s="143"/>
      <c r="AA48" s="143"/>
      <c r="AB48" s="144"/>
      <c r="AC48" s="145"/>
      <c r="AD48" s="148">
        <v>220000</v>
      </c>
      <c r="AE48" s="146"/>
      <c r="AF48" s="127">
        <v>220000</v>
      </c>
      <c r="AG48" s="91">
        <f t="shared" si="2"/>
        <v>220000</v>
      </c>
      <c r="AH48" s="81"/>
      <c r="AI48" s="75"/>
    </row>
    <row r="49" spans="1:35" s="147" customFormat="1" ht="19.5">
      <c r="A49" s="138"/>
      <c r="B49" s="151" t="s">
        <v>245</v>
      </c>
      <c r="C49" s="139"/>
      <c r="D49" s="124" t="s">
        <v>246</v>
      </c>
      <c r="E49" s="17"/>
      <c r="F49" s="17"/>
      <c r="G49" s="17"/>
      <c r="H49" s="17"/>
      <c r="I49" s="17"/>
      <c r="J49" s="138"/>
      <c r="K49" s="138"/>
      <c r="L49" s="138"/>
      <c r="M49" s="138"/>
      <c r="N49" s="138"/>
      <c r="O49" s="138"/>
      <c r="P49" s="138"/>
      <c r="Q49" s="140"/>
      <c r="R49" s="140"/>
      <c r="S49" s="141"/>
      <c r="T49" s="142"/>
      <c r="U49" s="142"/>
      <c r="V49" s="142"/>
      <c r="W49" s="142"/>
      <c r="X49" s="140"/>
      <c r="Y49" s="140"/>
      <c r="Z49" s="143"/>
      <c r="AA49" s="143"/>
      <c r="AB49" s="144"/>
      <c r="AC49" s="145"/>
      <c r="AD49" s="148">
        <v>60000</v>
      </c>
      <c r="AE49" s="146"/>
      <c r="AF49" s="127">
        <v>60000</v>
      </c>
      <c r="AG49" s="91">
        <f t="shared" si="2"/>
        <v>60000</v>
      </c>
      <c r="AH49" s="81"/>
      <c r="AI49" s="75"/>
    </row>
    <row r="50" spans="1:35" s="147" customFormat="1" ht="37.5">
      <c r="A50" s="138"/>
      <c r="B50" s="151" t="s">
        <v>247</v>
      </c>
      <c r="C50" s="139"/>
      <c r="D50" s="124" t="s">
        <v>194</v>
      </c>
      <c r="E50" s="17"/>
      <c r="F50" s="17"/>
      <c r="G50" s="17"/>
      <c r="H50" s="17"/>
      <c r="I50" s="17"/>
      <c r="J50" s="138"/>
      <c r="K50" s="138"/>
      <c r="L50" s="138"/>
      <c r="M50" s="138"/>
      <c r="N50" s="138"/>
      <c r="O50" s="138"/>
      <c r="P50" s="138"/>
      <c r="Q50" s="140"/>
      <c r="R50" s="140"/>
      <c r="S50" s="141"/>
      <c r="T50" s="142"/>
      <c r="U50" s="142"/>
      <c r="V50" s="142"/>
      <c r="W50" s="142"/>
      <c r="X50" s="140"/>
      <c r="Y50" s="140"/>
      <c r="Z50" s="143"/>
      <c r="AA50" s="143"/>
      <c r="AB50" s="144"/>
      <c r="AC50" s="145"/>
      <c r="AD50" s="148">
        <f t="shared" si="3"/>
        <v>300000</v>
      </c>
      <c r="AE50" s="146"/>
      <c r="AF50" s="127">
        <v>300000</v>
      </c>
      <c r="AG50" s="91">
        <f t="shared" si="2"/>
        <v>300000</v>
      </c>
      <c r="AH50" s="81"/>
      <c r="AI50" s="75">
        <f t="shared" si="1"/>
        <v>0</v>
      </c>
    </row>
    <row r="51" spans="1:35" ht="37.5">
      <c r="A51" s="15"/>
      <c r="B51" s="155" t="s">
        <v>27</v>
      </c>
      <c r="C51" s="156"/>
      <c r="D51" s="157" t="s">
        <v>96</v>
      </c>
      <c r="E51" s="158"/>
      <c r="F51" s="158"/>
      <c r="G51" s="159"/>
      <c r="H51" s="158"/>
      <c r="I51" s="158"/>
      <c r="J51" s="160"/>
      <c r="K51" s="160"/>
      <c r="L51" s="160"/>
      <c r="M51" s="160"/>
      <c r="N51" s="160"/>
      <c r="O51" s="160"/>
      <c r="P51" s="160"/>
      <c r="Q51" s="161"/>
      <c r="R51" s="161"/>
      <c r="S51" s="162"/>
      <c r="T51" s="163"/>
      <c r="U51" s="163"/>
      <c r="V51" s="163"/>
      <c r="W51" s="163"/>
      <c r="X51" s="161"/>
      <c r="Y51" s="161"/>
      <c r="Z51" s="161"/>
      <c r="AA51" s="161"/>
      <c r="AB51" s="164"/>
      <c r="AC51" s="165"/>
      <c r="AD51" s="154">
        <f t="shared" si="3"/>
        <v>6800000</v>
      </c>
      <c r="AE51" s="166"/>
      <c r="AF51" s="167">
        <f>AF52</f>
        <v>6800000</v>
      </c>
      <c r="AG51" s="167">
        <f>AG52</f>
        <v>6800000</v>
      </c>
      <c r="AH51" s="167">
        <f>AH52</f>
        <v>162328.1</v>
      </c>
      <c r="AI51" s="33">
        <f t="shared" si="1"/>
        <v>2.387177941176471</v>
      </c>
    </row>
    <row r="52" spans="1:35" ht="60" customHeight="1">
      <c r="A52" s="15"/>
      <c r="B52" s="151" t="s">
        <v>103</v>
      </c>
      <c r="C52" s="130"/>
      <c r="D52" s="152" t="s">
        <v>188</v>
      </c>
      <c r="E52" s="16"/>
      <c r="F52" s="16"/>
      <c r="G52" s="17"/>
      <c r="H52" s="16"/>
      <c r="I52" s="16"/>
      <c r="J52" s="15"/>
      <c r="K52" s="15"/>
      <c r="L52" s="15"/>
      <c r="M52" s="15"/>
      <c r="N52" s="15"/>
      <c r="O52" s="15"/>
      <c r="P52" s="15"/>
      <c r="Q52" s="18"/>
      <c r="R52" s="18"/>
      <c r="S52" s="19"/>
      <c r="T52" s="20"/>
      <c r="U52" s="20"/>
      <c r="V52" s="20"/>
      <c r="W52" s="20"/>
      <c r="X52" s="18"/>
      <c r="Y52" s="18"/>
      <c r="Z52" s="21"/>
      <c r="AA52" s="21"/>
      <c r="AB52" s="131"/>
      <c r="AC52" s="132"/>
      <c r="AD52" s="148">
        <f t="shared" si="3"/>
        <v>6800000</v>
      </c>
      <c r="AE52" s="134"/>
      <c r="AF52" s="153">
        <v>6800000</v>
      </c>
      <c r="AG52" s="91">
        <f>AF52</f>
        <v>6800000</v>
      </c>
      <c r="AH52" s="91">
        <f>119777.42+42550.68</f>
        <v>162328.1</v>
      </c>
      <c r="AI52" s="75">
        <f t="shared" si="1"/>
        <v>2.387177941176471</v>
      </c>
    </row>
    <row r="53" spans="1:35" ht="19.5">
      <c r="A53" s="23">
        <v>4</v>
      </c>
      <c r="B53" s="23" t="s">
        <v>28</v>
      </c>
      <c r="C53" s="24"/>
      <c r="D53" s="25" t="s">
        <v>62</v>
      </c>
      <c r="E53" s="26"/>
      <c r="F53" s="26"/>
      <c r="G53" s="27"/>
      <c r="H53" s="26"/>
      <c r="I53" s="26"/>
      <c r="J53" s="28"/>
      <c r="K53" s="28"/>
      <c r="L53" s="28"/>
      <c r="M53" s="31" t="e">
        <f>M54+M61+M69+M73+#REF!+M79+M80+M84+M86+M90+M97+M60+M100+M101+M102+M103+M104+M105+#REF!+#REF!+M114</f>
        <v>#REF!</v>
      </c>
      <c r="N53" s="31" t="e">
        <f>N54+N61+N69+N73+#REF!+N79+N80+N84+N86+N90+N97+N60+N100+N101+N102+N103+N104+N105+#REF!+#REF!+N114</f>
        <v>#VALUE!</v>
      </c>
      <c r="O53" s="31" t="e">
        <f>O54+O61+O69+O73+#REF!+O79+O80+O84+O86+O90+O97+O60+O100+O101+O102+O103+O104+O105+#REF!+#REF!+O114</f>
        <v>#REF!</v>
      </c>
      <c r="P53" s="30" t="e">
        <f>P54+P61+P69+P73+P78+P84+P86+P94+P97+P100+P101+P102+P103+P104+P105+P114</f>
        <v>#REF!</v>
      </c>
      <c r="Q53" s="31" t="e">
        <f>Q54+Q61+Q69+Q73+#REF!+Q79+Q80+Q84+Q86+Q90+Q97+Q60+Q100+Q101+Q102+Q103+Q104+Q105+#REF!+#REF!+Q114</f>
        <v>#REF!</v>
      </c>
      <c r="R53" s="31" t="e">
        <f>R54+R61+R69+R73+#REF!+R79+R80+R84+R86+R90+R97+R60+R100+R101+R102+R103+R104+R105+#REF!+#REF!+R114</f>
        <v>#REF!</v>
      </c>
      <c r="S53" s="31" t="e">
        <f>S54+S61+S69+S73+#REF!+S79+S80+S84+S86+S90+S97+S60+S100+S101+S102+S103+S104+S105+#REF!+#REF!+S114</f>
        <v>#REF!</v>
      </c>
      <c r="T53" s="31" t="e">
        <f>T54+T61+T69+T73+#REF!+T79+T80+T84+T86+T90+T97+T60+T100+T101+T102+T103+T104+T105+#REF!+#REF!+T114</f>
        <v>#REF!</v>
      </c>
      <c r="U53" s="31" t="e">
        <f>U54+U61+U69+U73+#REF!+U79+U80+U84+U86+U90+U97+U60+U100+U101+U102+U103+U104+U105+#REF!+#REF!+U114</f>
        <v>#REF!</v>
      </c>
      <c r="V53" s="31" t="e">
        <f>V54+V61+V69+V73+#REF!+V79+V80+V84+V86+V90+V97+V60+V100+V101+V102+V103+V104+V105+#REF!+#REF!+V114</f>
        <v>#REF!</v>
      </c>
      <c r="W53" s="32" t="e">
        <f>W57+W73+#REF!+W87</f>
        <v>#REF!</v>
      </c>
      <c r="X53" s="31" t="e">
        <f>X54+X61+X69+X73+#REF!+X90+X60+X79+X97+X100+X80+X102+X84+X103+X105+X101+X104+X86</f>
        <v>#REF!</v>
      </c>
      <c r="Y53" s="33" t="e">
        <f>X53/P53*100</f>
        <v>#REF!</v>
      </c>
      <c r="Z53" s="30" t="e">
        <f>Z54+Z61+Z69+Z73+Z78+Z84+Z86+Z94+Z97+Z100+Z101+Z102+Z103+Z104+Z105+Z115</f>
        <v>#REF!</v>
      </c>
      <c r="AA53" s="31" t="e">
        <f aca="true" t="shared" si="4" ref="AA53:AA58">Z53/P53*100</f>
        <v>#REF!</v>
      </c>
      <c r="AB53" s="34" t="e">
        <f aca="true" t="shared" si="5" ref="AB53:AB58">Z53-P53</f>
        <v>#REF!</v>
      </c>
      <c r="AC53" s="35"/>
      <c r="AD53" s="154">
        <f t="shared" si="3"/>
        <v>60111619.122149006</v>
      </c>
      <c r="AE53" s="30">
        <f>AE54+AE61+AE69+AE73+AE78+AE84+AE86+AE94+AE97+AE100+AE101+AE102+AE103+AE104+AE105+AE110</f>
        <v>60111619.122149006</v>
      </c>
      <c r="AF53" s="35"/>
      <c r="AG53" s="35"/>
      <c r="AH53" s="30">
        <f>AH54+AH61+AH69+AH73+AH78+AH84+AH86+AH94+AH97+AH100+AH101+AH102+AH103+AH104+AH105+AH110</f>
        <v>27860802.250000007</v>
      </c>
      <c r="AI53" s="33">
        <f aca="true" t="shared" si="6" ref="AI53:AI85">AH53/AE53*100</f>
        <v>46.34844753289017</v>
      </c>
    </row>
    <row r="54" spans="1:35" s="2" customFormat="1" ht="37.5">
      <c r="A54" s="169" t="s">
        <v>107</v>
      </c>
      <c r="B54" s="169" t="s">
        <v>104</v>
      </c>
      <c r="C54" s="170"/>
      <c r="D54" s="85" t="s">
        <v>63</v>
      </c>
      <c r="E54" s="223">
        <v>4945</v>
      </c>
      <c r="F54" s="223" t="e">
        <f>4797.2+#REF!</f>
        <v>#REF!</v>
      </c>
      <c r="G54" s="223">
        <v>516.2</v>
      </c>
      <c r="H54" s="223">
        <v>4326</v>
      </c>
      <c r="I54" s="223">
        <f>7616.03-3700.736</f>
        <v>3915.294</v>
      </c>
      <c r="J54" s="223">
        <v>3323</v>
      </c>
      <c r="K54" s="223">
        <v>4326</v>
      </c>
      <c r="L54" s="223" t="s">
        <v>64</v>
      </c>
      <c r="M54" s="224">
        <f>M55+M56+M58+M57</f>
        <v>7956400</v>
      </c>
      <c r="N54" s="224">
        <f>N55+N56+N58+N57</f>
        <v>0</v>
      </c>
      <c r="O54" s="224">
        <f>O55+O56+O58+O57</f>
        <v>20746400</v>
      </c>
      <c r="P54" s="225">
        <f>P55+P56+P58+P57+P60</f>
        <v>11194558.2</v>
      </c>
      <c r="Q54" s="224">
        <f aca="true" t="shared" si="7" ref="Q54:V54">Q55+Q56+Q58+Q57</f>
        <v>10373200</v>
      </c>
      <c r="R54" s="224">
        <f t="shared" si="7"/>
        <v>0</v>
      </c>
      <c r="S54" s="224">
        <f t="shared" si="7"/>
        <v>0</v>
      </c>
      <c r="T54" s="224">
        <f t="shared" si="7"/>
        <v>7206768.960000001</v>
      </c>
      <c r="U54" s="224">
        <f t="shared" si="7"/>
        <v>0</v>
      </c>
      <c r="V54" s="224">
        <f t="shared" si="7"/>
        <v>13605960.81</v>
      </c>
      <c r="W54" s="224"/>
      <c r="X54" s="224">
        <f>X55+X56+X58</f>
        <v>7425268.960000001</v>
      </c>
      <c r="Y54" s="226">
        <f>X54/P54*100</f>
        <v>66.32927202075737</v>
      </c>
      <c r="Z54" s="225">
        <f>Z55+Z56+Z58+Z57+Z60</f>
        <v>14501241.25</v>
      </c>
      <c r="AA54" s="224">
        <f t="shared" si="4"/>
        <v>129.5383077288392</v>
      </c>
      <c r="AB54" s="227">
        <f t="shared" si="5"/>
        <v>3306683.0500000007</v>
      </c>
      <c r="AC54" s="228"/>
      <c r="AD54" s="186">
        <f t="shared" si="3"/>
        <v>13853491.25</v>
      </c>
      <c r="AE54" s="65">
        <f>AE55+AE56+AE58+AE57+AE60+AE59</f>
        <v>13853491.25</v>
      </c>
      <c r="AF54" s="65"/>
      <c r="AG54" s="230"/>
      <c r="AH54" s="231">
        <f>AH55+AH56+AH58+AH59+AH60</f>
        <v>5749243.5200000005</v>
      </c>
      <c r="AI54" s="193">
        <f t="shared" si="6"/>
        <v>41.50032231045009</v>
      </c>
    </row>
    <row r="55" spans="1:35" ht="19.5">
      <c r="A55" s="38"/>
      <c r="B55" s="38"/>
      <c r="C55" s="39" t="s">
        <v>104</v>
      </c>
      <c r="D55" s="40" t="s">
        <v>65</v>
      </c>
      <c r="E55" s="41"/>
      <c r="F55" s="41"/>
      <c r="G55" s="41"/>
      <c r="H55" s="41"/>
      <c r="I55" s="42"/>
      <c r="J55" s="42"/>
      <c r="K55" s="42"/>
      <c r="L55" s="42"/>
      <c r="M55" s="43">
        <v>3915300</v>
      </c>
      <c r="N55" s="42"/>
      <c r="O55" s="44">
        <f>P55+Q55</f>
        <v>7830600</v>
      </c>
      <c r="P55" s="45">
        <f>Q55+R55</f>
        <v>3915300</v>
      </c>
      <c r="Q55" s="46">
        <v>3915300</v>
      </c>
      <c r="R55" s="47"/>
      <c r="S55" s="47"/>
      <c r="T55" s="46">
        <f>377576+371325+309994.8+333575+343665.2+183849+382449.6+208635+112435+213155+204635+153080</f>
        <v>3194374.6</v>
      </c>
      <c r="U55" s="46"/>
      <c r="V55" s="74">
        <v>4284918.23</v>
      </c>
      <c r="W55" s="74"/>
      <c r="X55" s="46">
        <f>377576+371325+309994.8+333575+343665.2+183849+382449.6+208635+112435+213155+204635+153080+218500</f>
        <v>3412874.6</v>
      </c>
      <c r="Y55" s="48">
        <f>X55/P55*100</f>
        <v>87.16763977217582</v>
      </c>
      <c r="Z55" s="49">
        <v>4284918.23</v>
      </c>
      <c r="AA55" s="50">
        <f t="shared" si="4"/>
        <v>109.44035527290374</v>
      </c>
      <c r="AB55" s="51">
        <f t="shared" si="5"/>
        <v>369618.23000000045</v>
      </c>
      <c r="AC55" s="52" t="s">
        <v>66</v>
      </c>
      <c r="AD55" s="148">
        <f t="shared" si="3"/>
        <v>4284918.23</v>
      </c>
      <c r="AE55" s="49">
        <v>4284918.23</v>
      </c>
      <c r="AF55" s="22"/>
      <c r="AG55" s="22"/>
      <c r="AH55" s="189">
        <f>451196.53+332740.16-66.81+399426.96+233852.31</f>
        <v>1417149.15</v>
      </c>
      <c r="AI55" s="75">
        <f t="shared" si="6"/>
        <v>33.07295668043588</v>
      </c>
    </row>
    <row r="56" spans="1:35" ht="18" customHeight="1">
      <c r="A56" s="38"/>
      <c r="B56" s="38"/>
      <c r="C56" s="39" t="s">
        <v>105</v>
      </c>
      <c r="D56" s="40" t="s">
        <v>67</v>
      </c>
      <c r="E56" s="41"/>
      <c r="F56" s="41"/>
      <c r="G56" s="41"/>
      <c r="H56" s="41"/>
      <c r="I56" s="42"/>
      <c r="J56" s="42"/>
      <c r="K56" s="42"/>
      <c r="L56" s="42"/>
      <c r="M56" s="43">
        <v>3700700</v>
      </c>
      <c r="N56" s="42"/>
      <c r="O56" s="44">
        <f>P56+Q56</f>
        <v>12235000</v>
      </c>
      <c r="P56" s="45">
        <f>Q56+R56</f>
        <v>6117500</v>
      </c>
      <c r="Q56" s="46">
        <f>3700700+2416800</f>
        <v>6117500</v>
      </c>
      <c r="R56" s="47"/>
      <c r="S56" s="47"/>
      <c r="T56" s="46">
        <f>368514.26+320005.16+308997.12+245452.4+488986.08+424493.2+319141.43+361164.06+393613.2+515925.59</f>
        <v>3746292.5000000005</v>
      </c>
      <c r="U56" s="46"/>
      <c r="V56" s="74">
        <v>8196115.58</v>
      </c>
      <c r="W56" s="74"/>
      <c r="X56" s="46">
        <f>368514.26+320005.16+308997.12+245452.4+488986.08+424493.2+319141.43+361164.06+393613.2+515925.59</f>
        <v>3746292.5000000005</v>
      </c>
      <c r="Y56" s="48">
        <f>X56/P56*100</f>
        <v>61.238945647731924</v>
      </c>
      <c r="Z56" s="49">
        <v>8196115.58</v>
      </c>
      <c r="AA56" s="50">
        <f t="shared" si="4"/>
        <v>133.9781868410298</v>
      </c>
      <c r="AB56" s="51">
        <f t="shared" si="5"/>
        <v>2078615.58</v>
      </c>
      <c r="AC56" s="53" t="s">
        <v>68</v>
      </c>
      <c r="AD56" s="148">
        <f t="shared" si="3"/>
        <v>8062577.58</v>
      </c>
      <c r="AE56" s="54">
        <f>8196115.58-133538</f>
        <v>8062577.58</v>
      </c>
      <c r="AF56" s="22"/>
      <c r="AG56" s="22"/>
      <c r="AH56" s="189">
        <f>1043663.87+1051800.53+937923.95+734004.17</f>
        <v>3767392.5199999996</v>
      </c>
      <c r="AI56" s="75">
        <f t="shared" si="6"/>
        <v>46.72689946383126</v>
      </c>
    </row>
    <row r="57" spans="1:35" ht="38.25" customHeight="1" hidden="1">
      <c r="A57" s="38"/>
      <c r="B57" s="38"/>
      <c r="C57" s="39" t="s">
        <v>104</v>
      </c>
      <c r="D57" s="55" t="s">
        <v>69</v>
      </c>
      <c r="E57" s="56"/>
      <c r="F57" s="56"/>
      <c r="G57" s="56"/>
      <c r="H57" s="56"/>
      <c r="I57" s="56"/>
      <c r="J57" s="56"/>
      <c r="K57" s="56"/>
      <c r="L57" s="56"/>
      <c r="M57" s="57">
        <v>0</v>
      </c>
      <c r="N57" s="57">
        <v>0</v>
      </c>
      <c r="O57" s="57">
        <v>0</v>
      </c>
      <c r="P57" s="58">
        <v>0</v>
      </c>
      <c r="Q57" s="57">
        <v>0</v>
      </c>
      <c r="R57" s="57">
        <v>0</v>
      </c>
      <c r="S57" s="57">
        <v>0</v>
      </c>
      <c r="T57" s="57">
        <v>0</v>
      </c>
      <c r="U57" s="57"/>
      <c r="V57" s="74">
        <v>647750</v>
      </c>
      <c r="W57" s="249">
        <v>754100</v>
      </c>
      <c r="X57" s="57">
        <v>0</v>
      </c>
      <c r="Y57" s="57">
        <v>0</v>
      </c>
      <c r="Z57" s="59">
        <v>647750</v>
      </c>
      <c r="AA57" s="50" t="e">
        <f t="shared" si="4"/>
        <v>#DIV/0!</v>
      </c>
      <c r="AB57" s="60">
        <f t="shared" si="5"/>
        <v>647750</v>
      </c>
      <c r="AC57" s="250" t="s">
        <v>70</v>
      </c>
      <c r="AD57" s="148">
        <f t="shared" si="3"/>
        <v>0</v>
      </c>
      <c r="AE57" s="54">
        <v>0</v>
      </c>
      <c r="AF57" s="22"/>
      <c r="AG57" s="22"/>
      <c r="AH57" s="189"/>
      <c r="AI57" s="75" t="e">
        <f t="shared" si="6"/>
        <v>#DIV/0!</v>
      </c>
    </row>
    <row r="58" spans="1:35" ht="37.5">
      <c r="A58" s="38"/>
      <c r="B58" s="38"/>
      <c r="C58" s="39" t="s">
        <v>104</v>
      </c>
      <c r="D58" s="61" t="s">
        <v>90</v>
      </c>
      <c r="E58" s="56"/>
      <c r="F58" s="56"/>
      <c r="G58" s="56"/>
      <c r="H58" s="56"/>
      <c r="I58" s="56"/>
      <c r="J58" s="56"/>
      <c r="K58" s="56"/>
      <c r="L58" s="56"/>
      <c r="M58" s="58">
        <v>340400</v>
      </c>
      <c r="N58" s="56"/>
      <c r="O58" s="62">
        <f>P58+Q58</f>
        <v>680800</v>
      </c>
      <c r="P58" s="58">
        <f>Q58+R58</f>
        <v>340400</v>
      </c>
      <c r="Q58" s="46">
        <v>340400</v>
      </c>
      <c r="R58" s="63"/>
      <c r="S58" s="63"/>
      <c r="T58" s="46">
        <f>31760+32267.33+557+3492.67+30267.33+3492.67+2457.54+28267.33+3492.67+30267.32+3492.67+30767.33+3492.67+30267.33+3492.67+28267.33</f>
        <v>266101.86000000004</v>
      </c>
      <c r="U58" s="46"/>
      <c r="V58" s="74">
        <v>477177</v>
      </c>
      <c r="W58" s="249"/>
      <c r="X58" s="46">
        <f>31760+32267.33+557+3492.67+30267.33+3492.67+2457.54+28267.33+3492.67+30267.32+3492.67+30767.33+3492.67+30267.33+3492.67+28267.33</f>
        <v>266101.86000000004</v>
      </c>
      <c r="Y58" s="64">
        <f>X58/P58*100</f>
        <v>78.17328437132787</v>
      </c>
      <c r="Z58" s="59">
        <v>477177</v>
      </c>
      <c r="AA58" s="50">
        <f t="shared" si="4"/>
        <v>140.18125734430083</v>
      </c>
      <c r="AB58" s="60">
        <f t="shared" si="5"/>
        <v>136777</v>
      </c>
      <c r="AC58" s="250"/>
      <c r="AD58" s="148">
        <f t="shared" si="3"/>
        <v>477177</v>
      </c>
      <c r="AE58" s="54">
        <v>477177</v>
      </c>
      <c r="AF58" s="22"/>
      <c r="AG58" s="22"/>
      <c r="AH58" s="221">
        <f>70531.7+6772.4+32179.65+4172.4+2000+32179.65+4772.4+2000+33654.16</f>
        <v>188262.36</v>
      </c>
      <c r="AI58" s="75">
        <f t="shared" si="6"/>
        <v>39.45336007393483</v>
      </c>
    </row>
    <row r="59" spans="1:35" ht="19.5">
      <c r="A59" s="38"/>
      <c r="B59" s="38"/>
      <c r="C59" s="39"/>
      <c r="D59" s="77" t="s">
        <v>193</v>
      </c>
      <c r="E59" s="56"/>
      <c r="F59" s="56"/>
      <c r="G59" s="56"/>
      <c r="H59" s="56"/>
      <c r="I59" s="56"/>
      <c r="J59" s="56"/>
      <c r="K59" s="56"/>
      <c r="L59" s="56"/>
      <c r="M59" s="58"/>
      <c r="N59" s="56"/>
      <c r="O59" s="62"/>
      <c r="P59" s="58"/>
      <c r="Q59" s="46"/>
      <c r="R59" s="63"/>
      <c r="S59" s="63"/>
      <c r="T59" s="46"/>
      <c r="U59" s="46"/>
      <c r="V59" s="74"/>
      <c r="W59" s="74"/>
      <c r="X59" s="46"/>
      <c r="Y59" s="64"/>
      <c r="Z59" s="59"/>
      <c r="AA59" s="50"/>
      <c r="AB59" s="60"/>
      <c r="AC59" s="53"/>
      <c r="AD59" s="148">
        <f t="shared" si="3"/>
        <v>133538</v>
      </c>
      <c r="AE59" s="54">
        <v>133538</v>
      </c>
      <c r="AF59" s="22"/>
      <c r="AG59" s="22"/>
      <c r="AH59" s="222">
        <f>24557.74+11948.26</f>
        <v>36506</v>
      </c>
      <c r="AI59" s="75">
        <f t="shared" si="6"/>
        <v>27.337536880887836</v>
      </c>
    </row>
    <row r="60" spans="1:35" ht="19.5">
      <c r="A60" s="38"/>
      <c r="B60" s="38"/>
      <c r="C60" s="39" t="s">
        <v>105</v>
      </c>
      <c r="D60" s="55" t="s">
        <v>71</v>
      </c>
      <c r="E60" s="56">
        <f>31.3+21.5</f>
        <v>52.8</v>
      </c>
      <c r="F60" s="56">
        <f>E60</f>
        <v>52.8</v>
      </c>
      <c r="G60" s="56">
        <v>0</v>
      </c>
      <c r="H60" s="56">
        <f>F60</f>
        <v>52.8</v>
      </c>
      <c r="I60" s="56">
        <v>100</v>
      </c>
      <c r="J60" s="56">
        <v>0</v>
      </c>
      <c r="K60" s="56">
        <v>52.8</v>
      </c>
      <c r="L60" s="56" t="s">
        <v>64</v>
      </c>
      <c r="M60" s="65">
        <v>821358.2</v>
      </c>
      <c r="N60" s="56" t="s">
        <v>64</v>
      </c>
      <c r="O60" s="66">
        <f>P60+Q60</f>
        <v>1642716.4</v>
      </c>
      <c r="P60" s="58">
        <f>Q60+R60</f>
        <v>821358.2</v>
      </c>
      <c r="Q60" s="67">
        <v>821358.2</v>
      </c>
      <c r="R60" s="68"/>
      <c r="S60" s="68"/>
      <c r="T60" s="67">
        <f>57313.38+61144.73+58977.29+61169.9+64788.11+63325.73+67704.89+66130.42+67368.74+72480.48</f>
        <v>640403.6699999999</v>
      </c>
      <c r="U60" s="67"/>
      <c r="V60" s="67">
        <v>895280.44</v>
      </c>
      <c r="W60" s="67"/>
      <c r="X60" s="67">
        <f>57313.38+61144.73+58977.29+61169.9+64788.11+63325.73+67704.89+66130.42+67368.74+72480.48</f>
        <v>640403.6699999999</v>
      </c>
      <c r="Y60" s="69">
        <f>X60/P60*100</f>
        <v>77.96886547184894</v>
      </c>
      <c r="Z60" s="59">
        <v>895280.44</v>
      </c>
      <c r="AA60" s="50"/>
      <c r="AB60" s="60"/>
      <c r="AC60" s="53"/>
      <c r="AD60" s="148">
        <f t="shared" si="3"/>
        <v>895280.44</v>
      </c>
      <c r="AE60" s="54">
        <f>Z60</f>
        <v>895280.44</v>
      </c>
      <c r="AF60" s="22"/>
      <c r="AG60" s="22"/>
      <c r="AH60" s="189">
        <f>137394.42+66136.03+68723.5+67679.54</f>
        <v>339933.49</v>
      </c>
      <c r="AI60" s="75">
        <f t="shared" si="6"/>
        <v>37.969498138482734</v>
      </c>
    </row>
    <row r="61" spans="1:35" s="2" customFormat="1" ht="18.75">
      <c r="A61" s="169" t="s">
        <v>108</v>
      </c>
      <c r="B61" s="169" t="s">
        <v>105</v>
      </c>
      <c r="C61" s="170"/>
      <c r="D61" s="85" t="s">
        <v>72</v>
      </c>
      <c r="E61" s="56">
        <v>5449.4</v>
      </c>
      <c r="F61" s="56">
        <f>E61</f>
        <v>5449.4</v>
      </c>
      <c r="G61" s="56">
        <v>1012.4</v>
      </c>
      <c r="H61" s="56">
        <v>4437</v>
      </c>
      <c r="I61" s="56">
        <v>8582.5</v>
      </c>
      <c r="J61" s="56">
        <v>1513.5</v>
      </c>
      <c r="K61" s="56">
        <v>4437</v>
      </c>
      <c r="L61" s="56"/>
      <c r="M61" s="89">
        <f>M62+M63+M67+M65+M68</f>
        <v>5469440</v>
      </c>
      <c r="N61" s="89">
        <f>N62+N63+N67+N65+N68</f>
        <v>0</v>
      </c>
      <c r="O61" s="89">
        <f>O62+O63+O67+O65+O68</f>
        <v>14216880</v>
      </c>
      <c r="P61" s="65">
        <f>P62+P63+P67+P65+P68+P66</f>
        <v>5469440</v>
      </c>
      <c r="Q61" s="89">
        <f>Q62+Q63+Q67+Q65+Q68</f>
        <v>8999440</v>
      </c>
      <c r="R61" s="230"/>
      <c r="S61" s="230"/>
      <c r="T61" s="89">
        <f>T62+T63+T67+T65+T68</f>
        <v>5903520.42</v>
      </c>
      <c r="U61" s="89"/>
      <c r="V61" s="89">
        <f>V62+V63+V67+V65+V68</f>
        <v>11520000</v>
      </c>
      <c r="W61" s="89"/>
      <c r="X61" s="89">
        <f>X62+X63+X67+X65+X68</f>
        <v>5074108.42</v>
      </c>
      <c r="Y61" s="75">
        <f>X61/P61*100</f>
        <v>92.77199164813949</v>
      </c>
      <c r="Z61" s="65">
        <f>Z62+Z63+Z67+Z65+Z68+Z66</f>
        <v>11520000</v>
      </c>
      <c r="AA61" s="89">
        <f>Z61/P61*100</f>
        <v>210.62485373274046</v>
      </c>
      <c r="AB61" s="232">
        <f>Z61-P61</f>
        <v>6050560</v>
      </c>
      <c r="AC61" s="230"/>
      <c r="AD61" s="186">
        <f t="shared" si="3"/>
        <v>6162464.640000001</v>
      </c>
      <c r="AE61" s="197">
        <f>AE62+AE63+AE67+AE65+AE66+AE68</f>
        <v>6162464.640000001</v>
      </c>
      <c r="AF61" s="230"/>
      <c r="AG61" s="230"/>
      <c r="AH61" s="222">
        <f>AH62+AH63+AH65+AH66+AH67+AH68</f>
        <v>3454333</v>
      </c>
      <c r="AI61" s="75">
        <f t="shared" si="6"/>
        <v>56.05440682901832</v>
      </c>
    </row>
    <row r="62" spans="1:37" ht="19.5">
      <c r="A62" s="38"/>
      <c r="B62" s="38"/>
      <c r="C62" s="39" t="s">
        <v>73</v>
      </c>
      <c r="D62" s="70" t="s">
        <v>74</v>
      </c>
      <c r="E62" s="57"/>
      <c r="F62" s="57"/>
      <c r="G62" s="57"/>
      <c r="H62" s="57"/>
      <c r="I62" s="57"/>
      <c r="J62" s="57"/>
      <c r="K62" s="57"/>
      <c r="L62" s="57"/>
      <c r="M62" s="67">
        <v>1799360</v>
      </c>
      <c r="N62" s="71"/>
      <c r="O62" s="62">
        <f>P62+Q62</f>
        <v>3598720</v>
      </c>
      <c r="P62" s="58">
        <f>Q62+R62</f>
        <v>1799360</v>
      </c>
      <c r="Q62" s="46">
        <v>1799360</v>
      </c>
      <c r="R62" s="68"/>
      <c r="S62" s="68"/>
      <c r="T62" s="46">
        <f>217430.51+24131.1+75354.44+26310+83994+124498.5+49141.8+90561.58+85135+265612.24+37000+95901+94500+48300+179347.42+146901.8+86841.09+62893.68+5505.6</f>
        <v>1799359.76</v>
      </c>
      <c r="U62" s="46"/>
      <c r="V62" s="72">
        <v>4550000</v>
      </c>
      <c r="W62" s="50"/>
      <c r="X62" s="46">
        <f>217430.51+24131.1+75354.44+26310+83994+124498.5+49141.8+90561.58+85135+265612.24+37000+95901+94500+48300+179347.42+146901.8+86841.09+62893.68+5505.6</f>
        <v>1799359.76</v>
      </c>
      <c r="Y62" s="69">
        <f>X62/P62*100</f>
        <v>99.99998666192424</v>
      </c>
      <c r="Z62" s="59">
        <v>4550000</v>
      </c>
      <c r="AA62" s="50">
        <f>Z62/P62*100</f>
        <v>252.86768628845812</v>
      </c>
      <c r="AB62" s="51">
        <f>Z62-P62</f>
        <v>2750640</v>
      </c>
      <c r="AC62" s="52"/>
      <c r="AD62" s="148">
        <f t="shared" si="3"/>
        <v>1945108.16</v>
      </c>
      <c r="AE62" s="49">
        <f>P62+P62*8.1%</f>
        <v>1945108.16</v>
      </c>
      <c r="AF62" s="22"/>
      <c r="AG62" s="22"/>
      <c r="AH62" s="191">
        <f>54575+145257+242875+44400</f>
        <v>487107</v>
      </c>
      <c r="AI62" s="75">
        <f t="shared" si="6"/>
        <v>25.04266909249921</v>
      </c>
      <c r="AK62" s="220"/>
    </row>
    <row r="63" spans="1:37" ht="20.25" customHeight="1">
      <c r="A63" s="38"/>
      <c r="B63" s="38"/>
      <c r="C63" s="39" t="s">
        <v>73</v>
      </c>
      <c r="D63" s="55" t="s">
        <v>75</v>
      </c>
      <c r="E63" s="57"/>
      <c r="F63" s="57"/>
      <c r="G63" s="57"/>
      <c r="H63" s="57"/>
      <c r="I63" s="57"/>
      <c r="J63" s="57"/>
      <c r="K63" s="57"/>
      <c r="L63" s="57"/>
      <c r="M63" s="67">
        <f>45000+98000</f>
        <v>143000</v>
      </c>
      <c r="N63" s="71"/>
      <c r="O63" s="62">
        <f>P63+Q63</f>
        <v>286000</v>
      </c>
      <c r="P63" s="58">
        <f>Q63+R63</f>
        <v>143000</v>
      </c>
      <c r="Q63" s="46">
        <f>45000+98000</f>
        <v>143000</v>
      </c>
      <c r="R63" s="68"/>
      <c r="S63" s="68"/>
      <c r="T63" s="46">
        <f>30000+97950+15000</f>
        <v>142950</v>
      </c>
      <c r="U63" s="46"/>
      <c r="V63" s="72">
        <v>275000</v>
      </c>
      <c r="W63" s="50"/>
      <c r="X63" s="46">
        <f>30000+97950+15000</f>
        <v>142950</v>
      </c>
      <c r="Y63" s="69">
        <f>X63/P63*100</f>
        <v>99.96503496503496</v>
      </c>
      <c r="Z63" s="59">
        <v>275000</v>
      </c>
      <c r="AA63" s="50">
        <f>Z63/P63*100</f>
        <v>192.30769230769232</v>
      </c>
      <c r="AB63" s="51">
        <f>Z63-P63</f>
        <v>132000</v>
      </c>
      <c r="AC63" s="52"/>
      <c r="AD63" s="148">
        <f t="shared" si="3"/>
        <v>404583</v>
      </c>
      <c r="AE63" s="49">
        <f>P63+P63*8.1%+200000+50000</f>
        <v>404583</v>
      </c>
      <c r="AF63" s="22"/>
      <c r="AG63" s="22"/>
      <c r="AH63" s="190">
        <f>154575+135696+49300</f>
        <v>339571</v>
      </c>
      <c r="AI63" s="75">
        <f t="shared" si="6"/>
        <v>83.93110931502312</v>
      </c>
      <c r="AK63" s="220"/>
    </row>
    <row r="64" spans="1:35" ht="47.25" customHeight="1">
      <c r="A64" s="38"/>
      <c r="B64" s="38"/>
      <c r="C64" s="39"/>
      <c r="D64" s="55" t="s">
        <v>219</v>
      </c>
      <c r="E64" s="57"/>
      <c r="F64" s="57"/>
      <c r="G64" s="57"/>
      <c r="H64" s="57"/>
      <c r="I64" s="57"/>
      <c r="J64" s="57"/>
      <c r="K64" s="57"/>
      <c r="L64" s="57"/>
      <c r="M64" s="67"/>
      <c r="N64" s="71"/>
      <c r="O64" s="62"/>
      <c r="P64" s="58"/>
      <c r="Q64" s="46"/>
      <c r="R64" s="68"/>
      <c r="S64" s="68"/>
      <c r="T64" s="46"/>
      <c r="U64" s="46"/>
      <c r="V64" s="72"/>
      <c r="W64" s="50"/>
      <c r="X64" s="46"/>
      <c r="Y64" s="69"/>
      <c r="Z64" s="59"/>
      <c r="AA64" s="50"/>
      <c r="AB64" s="51"/>
      <c r="AC64" s="52"/>
      <c r="AD64" s="195">
        <f>AE64</f>
        <v>50000</v>
      </c>
      <c r="AE64" s="49">
        <v>50000</v>
      </c>
      <c r="AF64" s="22"/>
      <c r="AG64" s="22"/>
      <c r="AH64" s="190">
        <v>0</v>
      </c>
      <c r="AI64" s="75">
        <f t="shared" si="6"/>
        <v>0</v>
      </c>
    </row>
    <row r="65" spans="1:35" ht="18.75" customHeight="1">
      <c r="A65" s="38"/>
      <c r="B65" s="38"/>
      <c r="C65" s="39" t="s">
        <v>73</v>
      </c>
      <c r="D65" s="55" t="s">
        <v>76</v>
      </c>
      <c r="E65" s="57"/>
      <c r="F65" s="57"/>
      <c r="G65" s="57"/>
      <c r="H65" s="57"/>
      <c r="I65" s="57"/>
      <c r="J65" s="57"/>
      <c r="K65" s="57"/>
      <c r="L65" s="57"/>
      <c r="M65" s="67">
        <f>252000+175000</f>
        <v>427000</v>
      </c>
      <c r="N65" s="71"/>
      <c r="O65" s="62">
        <f>P65+Q65</f>
        <v>602000</v>
      </c>
      <c r="P65" s="58">
        <v>175000</v>
      </c>
      <c r="Q65" s="46">
        <f>252000+175000</f>
        <v>427000</v>
      </c>
      <c r="R65" s="68"/>
      <c r="S65" s="68"/>
      <c r="T65" s="46">
        <f>34750+28250+25000+31750+25000+32000+25000+45500+70000+25000+34750</f>
        <v>377000</v>
      </c>
      <c r="U65" s="46"/>
      <c r="V65" s="72">
        <v>900000</v>
      </c>
      <c r="W65" s="50"/>
      <c r="X65" s="46">
        <f>34750+28250+25000+31750+25000+32000+25000+45500+70000+25000+34750+25000</f>
        <v>402000</v>
      </c>
      <c r="Y65" s="69">
        <f>X65/P65*100</f>
        <v>229.71428571428572</v>
      </c>
      <c r="Z65" s="59">
        <v>200000</v>
      </c>
      <c r="AA65" s="50">
        <f>Z65/P65*100</f>
        <v>114.28571428571428</v>
      </c>
      <c r="AB65" s="51">
        <f>Z65-P65</f>
        <v>25000</v>
      </c>
      <c r="AC65" s="52"/>
      <c r="AD65" s="148">
        <f aca="true" t="shared" si="8" ref="AD65:AD92">AE65+AF65</f>
        <v>189175</v>
      </c>
      <c r="AE65" s="49">
        <f>P65+P65*8.1%</f>
        <v>189175</v>
      </c>
      <c r="AF65" s="22"/>
      <c r="AG65" s="22"/>
      <c r="AH65" s="190">
        <v>50000</v>
      </c>
      <c r="AI65" s="108">
        <f t="shared" si="6"/>
        <v>26.430553720100434</v>
      </c>
    </row>
    <row r="66" spans="1:37" ht="20.25" customHeight="1">
      <c r="A66" s="38"/>
      <c r="B66" s="38"/>
      <c r="C66" s="274" t="s">
        <v>77</v>
      </c>
      <c r="D66" s="55" t="s">
        <v>78</v>
      </c>
      <c r="E66" s="57"/>
      <c r="F66" s="57"/>
      <c r="G66" s="57"/>
      <c r="H66" s="57"/>
      <c r="I66" s="57"/>
      <c r="J66" s="57"/>
      <c r="K66" s="57"/>
      <c r="L66" s="57"/>
      <c r="M66" s="67"/>
      <c r="N66" s="71"/>
      <c r="O66" s="62"/>
      <c r="P66" s="58">
        <v>252000</v>
      </c>
      <c r="Q66" s="46"/>
      <c r="R66" s="68"/>
      <c r="S66" s="68"/>
      <c r="T66" s="46"/>
      <c r="U66" s="46"/>
      <c r="V66" s="72"/>
      <c r="W66" s="50"/>
      <c r="X66" s="46"/>
      <c r="Y66" s="69"/>
      <c r="Z66" s="59">
        <v>700000</v>
      </c>
      <c r="AA66" s="50"/>
      <c r="AB66" s="51"/>
      <c r="AC66" s="52"/>
      <c r="AD66" s="148">
        <f t="shared" si="8"/>
        <v>272412</v>
      </c>
      <c r="AE66" s="49">
        <f>P66+P66*8.1%</f>
        <v>272412</v>
      </c>
      <c r="AF66" s="22"/>
      <c r="AG66" s="22"/>
      <c r="AH66" s="190">
        <v>125250</v>
      </c>
      <c r="AI66" s="108">
        <f t="shared" si="6"/>
        <v>45.97815074225805</v>
      </c>
      <c r="AK66" s="220"/>
    </row>
    <row r="67" spans="1:35" ht="36.75" customHeight="1">
      <c r="A67" s="38"/>
      <c r="B67" s="38"/>
      <c r="C67" s="274"/>
      <c r="D67" s="55" t="s">
        <v>79</v>
      </c>
      <c r="E67" s="57"/>
      <c r="F67" s="57"/>
      <c r="G67" s="57"/>
      <c r="H67" s="57"/>
      <c r="I67" s="57"/>
      <c r="J67" s="57"/>
      <c r="K67" s="57"/>
      <c r="L67" s="57"/>
      <c r="M67" s="67">
        <f>1231480+1589000+180000+29600</f>
        <v>3030080</v>
      </c>
      <c r="N67" s="71"/>
      <c r="O67" s="62">
        <f>P67+Q67</f>
        <v>6060160</v>
      </c>
      <c r="P67" s="58">
        <f>Q67+R67</f>
        <v>3030080</v>
      </c>
      <c r="Q67" s="46">
        <f>1231480+1589000+180000+29600</f>
        <v>3030080</v>
      </c>
      <c r="R67" s="68"/>
      <c r="S67" s="68"/>
      <c r="T67" s="46">
        <f>95028.5+188463.6+68400+157936.81+158389.75+145896+29600+29783+198012+97921.6+193183.5+70992+147900+44992.5+21677.5+14703+58116+88392+107822+50854.4+71688+74646+6000+161762+123612.5+114360+30800+133278</f>
        <v>2684210.66</v>
      </c>
      <c r="U67" s="46"/>
      <c r="V67" s="72">
        <v>5345000</v>
      </c>
      <c r="W67" s="50"/>
      <c r="X67" s="46">
        <f>95028.5+188463.6+68400+157936.81+158389.75+145896+29600+29783+198012+97921.6+193183.5+70992+147900+44992.5+21677.5+14703+58116+88392+107822+50854.4+71688+74646+6000+161762+123612.5+114360+30800+133278+45588</f>
        <v>2729798.66</v>
      </c>
      <c r="Y67" s="64">
        <f aca="true" t="shared" si="9" ref="Y67:Y75">X67/P67*100</f>
        <v>90.08998640299927</v>
      </c>
      <c r="Z67" s="59">
        <v>5345000</v>
      </c>
      <c r="AA67" s="50">
        <f aca="true" t="shared" si="10" ref="AA67:AA75">Z67/P67*100</f>
        <v>176.39798289154083</v>
      </c>
      <c r="AB67" s="51">
        <f aca="true" t="shared" si="11" ref="AB67:AB75">Z67-P67</f>
        <v>2314920</v>
      </c>
      <c r="AC67" s="52"/>
      <c r="AD67" s="148">
        <f t="shared" si="8"/>
        <v>3275516.48</v>
      </c>
      <c r="AE67" s="49">
        <f>P67+P67*8.1%</f>
        <v>3275516.48</v>
      </c>
      <c r="AF67" s="22"/>
      <c r="AG67" s="22"/>
      <c r="AH67" s="190">
        <f>650252+225720+335728+255610+322330+98235+227636+69632+220062+47200</f>
        <v>2452405</v>
      </c>
      <c r="AI67" s="108">
        <f t="shared" si="6"/>
        <v>74.87078801081167</v>
      </c>
    </row>
    <row r="68" spans="1:35" ht="19.5" customHeight="1">
      <c r="A68" s="38"/>
      <c r="B68" s="38"/>
      <c r="C68" s="274"/>
      <c r="D68" s="55" t="s">
        <v>80</v>
      </c>
      <c r="E68" s="57"/>
      <c r="F68" s="57"/>
      <c r="G68" s="57"/>
      <c r="H68" s="57"/>
      <c r="I68" s="57"/>
      <c r="J68" s="57"/>
      <c r="K68" s="57"/>
      <c r="L68" s="57"/>
      <c r="M68" s="67">
        <v>70000</v>
      </c>
      <c r="N68" s="71"/>
      <c r="O68" s="62">
        <f>P68+Q68</f>
        <v>3670000</v>
      </c>
      <c r="P68" s="58">
        <v>70000</v>
      </c>
      <c r="Q68" s="62">
        <f>R68+S68</f>
        <v>3600000</v>
      </c>
      <c r="R68" s="62">
        <f>S68+T68</f>
        <v>2250000</v>
      </c>
      <c r="S68" s="62">
        <f>T68+U68</f>
        <v>1350000</v>
      </c>
      <c r="T68" s="62">
        <f>U68+V68</f>
        <v>900000</v>
      </c>
      <c r="U68" s="62">
        <f>V68+W68</f>
        <v>450000</v>
      </c>
      <c r="V68" s="62">
        <v>450000</v>
      </c>
      <c r="W68" s="50"/>
      <c r="X68" s="46">
        <v>0</v>
      </c>
      <c r="Y68" s="69">
        <f t="shared" si="9"/>
        <v>0</v>
      </c>
      <c r="Z68" s="59">
        <v>450000</v>
      </c>
      <c r="AA68" s="50">
        <f t="shared" si="10"/>
        <v>642.8571428571429</v>
      </c>
      <c r="AB68" s="51">
        <f t="shared" si="11"/>
        <v>380000</v>
      </c>
      <c r="AC68" s="52"/>
      <c r="AD68" s="148">
        <f t="shared" si="8"/>
        <v>75670</v>
      </c>
      <c r="AE68" s="49">
        <f>P68+P68*8.1%</f>
        <v>75670</v>
      </c>
      <c r="AF68" s="22"/>
      <c r="AG68" s="22"/>
      <c r="AH68" s="190">
        <v>0</v>
      </c>
      <c r="AI68" s="108">
        <f t="shared" si="6"/>
        <v>0</v>
      </c>
    </row>
    <row r="69" spans="1:35" s="2" customFormat="1" ht="19.5" customHeight="1">
      <c r="A69" s="169" t="s">
        <v>109</v>
      </c>
      <c r="B69" s="169" t="s">
        <v>106</v>
      </c>
      <c r="C69" s="170"/>
      <c r="D69" s="85" t="s">
        <v>81</v>
      </c>
      <c r="E69" s="223">
        <f>256.5+80.3</f>
        <v>336.8</v>
      </c>
      <c r="F69" s="223">
        <f>E69</f>
        <v>336.8</v>
      </c>
      <c r="G69" s="223">
        <f>74+23.5</f>
        <v>97.5</v>
      </c>
      <c r="H69" s="223">
        <f>F69-G69</f>
        <v>239.3</v>
      </c>
      <c r="I69" s="223">
        <f>1056.05-187.9-170</f>
        <v>698.15</v>
      </c>
      <c r="J69" s="223">
        <v>74.25</v>
      </c>
      <c r="K69" s="223">
        <v>239.3</v>
      </c>
      <c r="L69" s="223"/>
      <c r="M69" s="229">
        <f>M71+M72+M70</f>
        <v>625900</v>
      </c>
      <c r="N69" s="223" t="s">
        <v>64</v>
      </c>
      <c r="O69" s="229">
        <f>P69+Q69</f>
        <v>1251800</v>
      </c>
      <c r="P69" s="225">
        <f>Q69+R69</f>
        <v>625900</v>
      </c>
      <c r="Q69" s="224">
        <f>Q70+Q71+Q72</f>
        <v>625900</v>
      </c>
      <c r="R69" s="228"/>
      <c r="S69" s="228"/>
      <c r="T69" s="224">
        <f>T70+T71+T72</f>
        <v>441324.46</v>
      </c>
      <c r="U69" s="224"/>
      <c r="V69" s="229">
        <f>V71+V72+V70</f>
        <v>637789.921</v>
      </c>
      <c r="W69" s="229"/>
      <c r="X69" s="224">
        <f>X70+X71+X72</f>
        <v>441324.46</v>
      </c>
      <c r="Y69" s="226">
        <f t="shared" si="9"/>
        <v>70.51037865473718</v>
      </c>
      <c r="Z69" s="225">
        <f>Z70+Z71+Z72</f>
        <v>1169762.37</v>
      </c>
      <c r="AA69" s="224">
        <f t="shared" si="10"/>
        <v>186.892853490973</v>
      </c>
      <c r="AB69" s="227">
        <f t="shared" si="11"/>
        <v>543862.3700000001</v>
      </c>
      <c r="AC69" s="228"/>
      <c r="AD69" s="186">
        <f t="shared" si="8"/>
        <v>810557.5100000001</v>
      </c>
      <c r="AE69" s="65">
        <f>AE70+AE71+AE72</f>
        <v>810557.5100000001</v>
      </c>
      <c r="AF69" s="230"/>
      <c r="AG69" s="230"/>
      <c r="AH69" s="222">
        <f>AH70+AH71+AH72</f>
        <v>159276.88999999998</v>
      </c>
      <c r="AI69" s="75">
        <f t="shared" si="6"/>
        <v>19.65028860197717</v>
      </c>
    </row>
    <row r="70" spans="1:35" ht="19.5">
      <c r="A70" s="38"/>
      <c r="B70" s="38"/>
      <c r="C70" s="39" t="s">
        <v>82</v>
      </c>
      <c r="D70" s="55" t="s">
        <v>83</v>
      </c>
      <c r="E70" s="56"/>
      <c r="F70" s="56"/>
      <c r="G70" s="56"/>
      <c r="H70" s="56"/>
      <c r="I70" s="56"/>
      <c r="J70" s="56"/>
      <c r="K70" s="56"/>
      <c r="L70" s="56"/>
      <c r="M70" s="58">
        <v>268000</v>
      </c>
      <c r="N70" s="56"/>
      <c r="O70" s="62">
        <f>P70+Q70</f>
        <v>718512.58</v>
      </c>
      <c r="P70" s="58">
        <f>Q70+R70</f>
        <v>359256.29</v>
      </c>
      <c r="Q70" s="46">
        <f>268000+91256.29</f>
        <v>359256.29</v>
      </c>
      <c r="R70" s="68"/>
      <c r="S70" s="68"/>
      <c r="T70" s="46">
        <f>18552.24+72107.68+23190.3+47175.33+23015.91+29757.33+62844.09+23190.03</f>
        <v>299832.91000000003</v>
      </c>
      <c r="U70" s="46"/>
      <c r="V70" s="50">
        <f>P70*(0.9)</f>
        <v>323330.66099999996</v>
      </c>
      <c r="W70" s="50"/>
      <c r="X70" s="46">
        <f>18552.24+72107.68+23190.3+47175.33+23015.91+29757.33+62844.09+23190.03</f>
        <v>299832.91000000003</v>
      </c>
      <c r="Y70" s="69">
        <f t="shared" si="9"/>
        <v>83.45933483864681</v>
      </c>
      <c r="Z70" s="59">
        <v>855303.11</v>
      </c>
      <c r="AA70" s="50">
        <f t="shared" si="10"/>
        <v>238.07602923250138</v>
      </c>
      <c r="AB70" s="51">
        <f t="shared" si="11"/>
        <v>496046.82</v>
      </c>
      <c r="AC70" s="271" t="s">
        <v>84</v>
      </c>
      <c r="AD70" s="186">
        <f t="shared" si="8"/>
        <v>496098.2500000001</v>
      </c>
      <c r="AE70" s="59">
        <f>152908.76+129844.14+131189.32+126901.63-44745.6</f>
        <v>496098.2500000001</v>
      </c>
      <c r="AF70" s="136"/>
      <c r="AG70" s="136"/>
      <c r="AH70" s="222">
        <v>137793.06</v>
      </c>
      <c r="AI70" s="75">
        <f t="shared" si="6"/>
        <v>27.775356998336516</v>
      </c>
    </row>
    <row r="71" spans="1:35" ht="17.25" customHeight="1">
      <c r="A71" s="38"/>
      <c r="B71" s="38"/>
      <c r="C71" s="39" t="s">
        <v>82</v>
      </c>
      <c r="D71" s="55" t="s">
        <v>85</v>
      </c>
      <c r="E71" s="56"/>
      <c r="F71" s="56"/>
      <c r="G71" s="56"/>
      <c r="H71" s="56"/>
      <c r="I71" s="56"/>
      <c r="J71" s="56"/>
      <c r="K71" s="56"/>
      <c r="L71" s="56"/>
      <c r="M71" s="58">
        <v>170000</v>
      </c>
      <c r="N71" s="56"/>
      <c r="O71" s="62">
        <f>P71+Q71</f>
        <v>157487.42</v>
      </c>
      <c r="P71" s="58">
        <f>Q71+R71</f>
        <v>78743.71</v>
      </c>
      <c r="Q71" s="46">
        <f>170000-91256.29</f>
        <v>78743.71</v>
      </c>
      <c r="R71" s="68"/>
      <c r="S71" s="68"/>
      <c r="T71" s="46">
        <f>14766.18+14774.76+14766.18+14766.18+14766.18</f>
        <v>73839.48000000001</v>
      </c>
      <c r="U71" s="46"/>
      <c r="V71" s="50">
        <v>86161.65</v>
      </c>
      <c r="W71" s="50"/>
      <c r="X71" s="46">
        <f>14766.18+14774.76+14766.18+14766.18+14766.18</f>
        <v>73839.48000000001</v>
      </c>
      <c r="Y71" s="69">
        <f t="shared" si="9"/>
        <v>93.7719088927865</v>
      </c>
      <c r="Z71" s="59">
        <v>86161.65</v>
      </c>
      <c r="AA71" s="50">
        <f t="shared" si="10"/>
        <v>109.42035878167282</v>
      </c>
      <c r="AB71" s="51">
        <f t="shared" si="11"/>
        <v>7417.939999999988</v>
      </c>
      <c r="AC71" s="271"/>
      <c r="AD71" s="186">
        <f t="shared" si="8"/>
        <v>86161.65</v>
      </c>
      <c r="AE71" s="59">
        <f>Z71</f>
        <v>86161.65</v>
      </c>
      <c r="AF71" s="136"/>
      <c r="AG71" s="136"/>
      <c r="AH71" s="222">
        <v>16168.43</v>
      </c>
      <c r="AI71" s="75">
        <f t="shared" si="6"/>
        <v>18.765227917524793</v>
      </c>
    </row>
    <row r="72" spans="1:35" ht="19.5">
      <c r="A72" s="38"/>
      <c r="B72" s="38"/>
      <c r="C72" s="39" t="s">
        <v>82</v>
      </c>
      <c r="D72" s="55" t="s">
        <v>40</v>
      </c>
      <c r="E72" s="56">
        <f>173.3</f>
        <v>173.3</v>
      </c>
      <c r="F72" s="56">
        <f>173.3</f>
        <v>173.3</v>
      </c>
      <c r="G72" s="56">
        <v>83.4</v>
      </c>
      <c r="H72" s="56">
        <f>F72-G72</f>
        <v>89.9</v>
      </c>
      <c r="I72" s="56">
        <f>666.764-14.616-20</f>
        <v>632.148</v>
      </c>
      <c r="J72" s="56">
        <v>166.1</v>
      </c>
      <c r="K72" s="56">
        <v>89.9</v>
      </c>
      <c r="L72" s="56"/>
      <c r="M72" s="58">
        <v>187900</v>
      </c>
      <c r="N72" s="56" t="s">
        <v>64</v>
      </c>
      <c r="O72" s="62">
        <f>P72+Q72</f>
        <v>375800</v>
      </c>
      <c r="P72" s="58">
        <f>Q72+R72</f>
        <v>187900</v>
      </c>
      <c r="Q72" s="46">
        <v>187900</v>
      </c>
      <c r="R72" s="68"/>
      <c r="S72" s="68"/>
      <c r="T72" s="46">
        <f>2357.42+16410.77+16575.26+17703.29+14605.33</f>
        <v>67652.06999999999</v>
      </c>
      <c r="U72" s="46"/>
      <c r="V72" s="50">
        <v>228297.61</v>
      </c>
      <c r="W72" s="50"/>
      <c r="X72" s="46">
        <f>2357.42+16410.77+16575.26+17703.29+14605.33</f>
        <v>67652.06999999999</v>
      </c>
      <c r="Y72" s="69">
        <f t="shared" si="9"/>
        <v>36.00429483767961</v>
      </c>
      <c r="Z72" s="59">
        <v>228297.61</v>
      </c>
      <c r="AA72" s="50">
        <f t="shared" si="10"/>
        <v>121.49952634379989</v>
      </c>
      <c r="AB72" s="51">
        <f t="shared" si="11"/>
        <v>40397.609999999986</v>
      </c>
      <c r="AC72" s="271"/>
      <c r="AD72" s="186">
        <f t="shared" si="8"/>
        <v>228297.61</v>
      </c>
      <c r="AE72" s="59">
        <f>Z72</f>
        <v>228297.61</v>
      </c>
      <c r="AF72" s="88"/>
      <c r="AG72" s="136"/>
      <c r="AH72" s="222">
        <v>5315.4</v>
      </c>
      <c r="AI72" s="75">
        <f t="shared" si="6"/>
        <v>2.32827667359286</v>
      </c>
    </row>
    <row r="73" spans="1:35" s="2" customFormat="1" ht="18.75">
      <c r="A73" s="169" t="s">
        <v>86</v>
      </c>
      <c r="B73" s="169" t="s">
        <v>32</v>
      </c>
      <c r="C73" s="170"/>
      <c r="D73" s="85" t="s">
        <v>87</v>
      </c>
      <c r="E73" s="56">
        <f>122.6+1881.1</f>
        <v>2003.6999999999998</v>
      </c>
      <c r="F73" s="56">
        <f>121.8+1840</f>
        <v>1961.8</v>
      </c>
      <c r="G73" s="56">
        <v>27.7</v>
      </c>
      <c r="H73" s="56">
        <f>F73-G73</f>
        <v>1934.1</v>
      </c>
      <c r="I73" s="56">
        <f>2239.093+25.0115+616.4775</f>
        <v>2880.582</v>
      </c>
      <c r="J73" s="56">
        <v>1332.8</v>
      </c>
      <c r="K73" s="56">
        <v>1934.1</v>
      </c>
      <c r="L73" s="56"/>
      <c r="M73" s="89">
        <f aca="true" t="shared" si="12" ref="M73:V73">M74+M75+M77</f>
        <v>2123000</v>
      </c>
      <c r="N73" s="89" t="e">
        <f t="shared" si="12"/>
        <v>#VALUE!</v>
      </c>
      <c r="O73" s="89">
        <f t="shared" si="12"/>
        <v>4246000</v>
      </c>
      <c r="P73" s="65">
        <f t="shared" si="12"/>
        <v>2123000</v>
      </c>
      <c r="Q73" s="89">
        <f t="shared" si="12"/>
        <v>2123000</v>
      </c>
      <c r="R73" s="89">
        <f t="shared" si="12"/>
        <v>0</v>
      </c>
      <c r="S73" s="89">
        <f t="shared" si="12"/>
        <v>0</v>
      </c>
      <c r="T73" s="89">
        <f t="shared" si="12"/>
        <v>1314272.7199999997</v>
      </c>
      <c r="U73" s="89">
        <f t="shared" si="12"/>
        <v>0</v>
      </c>
      <c r="V73" s="89">
        <f t="shared" si="12"/>
        <v>2480800</v>
      </c>
      <c r="W73" s="89">
        <f>W74</f>
        <v>1128700</v>
      </c>
      <c r="X73" s="89">
        <f>X74+X75+X77</f>
        <v>1314272.7199999997</v>
      </c>
      <c r="Y73" s="75">
        <f t="shared" si="9"/>
        <v>61.906392840320294</v>
      </c>
      <c r="Z73" s="65">
        <f>Z74+Z75+Z77</f>
        <v>2480800</v>
      </c>
      <c r="AA73" s="89">
        <f t="shared" si="10"/>
        <v>116.85350918511541</v>
      </c>
      <c r="AB73" s="232">
        <f t="shared" si="11"/>
        <v>357800</v>
      </c>
      <c r="AC73" s="272" t="s">
        <v>117</v>
      </c>
      <c r="AD73" s="186">
        <f t="shared" si="8"/>
        <v>2653600</v>
      </c>
      <c r="AE73" s="65">
        <f>AE74+AE75+AE76+AE77</f>
        <v>2653600</v>
      </c>
      <c r="AF73" s="230"/>
      <c r="AG73" s="230"/>
      <c r="AH73" s="222">
        <f>AH74+AH75+AH76+AH77</f>
        <v>1193494.5</v>
      </c>
      <c r="AI73" s="75">
        <f t="shared" si="6"/>
        <v>44.97642824841724</v>
      </c>
    </row>
    <row r="74" spans="1:37" ht="45" customHeight="1">
      <c r="A74" s="38"/>
      <c r="B74" s="38"/>
      <c r="C74" s="39" t="s">
        <v>118</v>
      </c>
      <c r="D74" s="77" t="s">
        <v>119</v>
      </c>
      <c r="E74" s="56"/>
      <c r="F74" s="56"/>
      <c r="G74" s="56"/>
      <c r="H74" s="56"/>
      <c r="I74" s="56"/>
      <c r="J74" s="56"/>
      <c r="K74" s="56"/>
      <c r="L74" s="56"/>
      <c r="M74" s="67">
        <f>1984500</f>
        <v>1984500</v>
      </c>
      <c r="N74" s="56"/>
      <c r="O74" s="62">
        <f>P74+Q74</f>
        <v>3969000</v>
      </c>
      <c r="P74" s="58">
        <f>Q74+R74</f>
        <v>1984500</v>
      </c>
      <c r="Q74" s="46">
        <f>1984500</f>
        <v>1984500</v>
      </c>
      <c r="R74" s="78"/>
      <c r="S74" s="78"/>
      <c r="T74" s="46">
        <f>197840.3+18507.64+57600+73630.54+35971.53+30920+76506.15+96247.25+38400+6300+15734.99+21980.11+73593.36+3495.25+5545.21+10780.11+70040+77853.38+8335.49+10781.4+73829.46+6988.73+10943.87+74954.36+88150+10869.68+9767.79+74359.94</f>
        <v>1279926.5399999998</v>
      </c>
      <c r="U74" s="46"/>
      <c r="V74" s="79">
        <v>2415500</v>
      </c>
      <c r="W74" s="50">
        <v>1128700</v>
      </c>
      <c r="X74" s="46">
        <f>197840.3+18507.64+57600+73630.54+35971.53+30920+76506.15+96247.25+38400+6300+15734.99+21980.11+73593.36+3495.25+5545.21+10780.11+70040+77853.38+8335.49+10781.4+73829.46+6988.73+10943.87+74954.36+88150+10869.68+9767.79+74359.94</f>
        <v>1279926.5399999998</v>
      </c>
      <c r="Y74" s="64">
        <f t="shared" si="9"/>
        <v>64.4961723356009</v>
      </c>
      <c r="Z74" s="59">
        <v>2415500</v>
      </c>
      <c r="AA74" s="74">
        <f t="shared" si="10"/>
        <v>121.7183169564122</v>
      </c>
      <c r="AB74" s="76">
        <f t="shared" si="11"/>
        <v>431000</v>
      </c>
      <c r="AC74" s="272"/>
      <c r="AD74" s="186">
        <f t="shared" si="8"/>
        <v>1878100</v>
      </c>
      <c r="AE74" s="59">
        <f>1705300+172800</f>
        <v>1878100</v>
      </c>
      <c r="AF74" s="88"/>
      <c r="AG74" s="136"/>
      <c r="AH74" s="221">
        <f>62630.03+17956.55+3950.44+29559.27+4385.59+44800+12555.8+15675.08+2632+17925+3943.5+218000+10667.41+29867.04+145343.16+39161.52+6301.59+26665+20410+19200+39504.93+36820.52+5556.56+48661.91+16730+3680</f>
        <v>882582.9000000001</v>
      </c>
      <c r="AI74" s="75">
        <f t="shared" si="6"/>
        <v>46.99339225813323</v>
      </c>
      <c r="AK74" s="220"/>
    </row>
    <row r="75" spans="1:35" s="1" customFormat="1" ht="17.25" customHeight="1">
      <c r="A75" s="38"/>
      <c r="B75" s="38"/>
      <c r="C75" s="39" t="s">
        <v>118</v>
      </c>
      <c r="D75" s="55" t="s">
        <v>120</v>
      </c>
      <c r="E75" s="56"/>
      <c r="F75" s="56"/>
      <c r="G75" s="56"/>
      <c r="H75" s="56"/>
      <c r="I75" s="56"/>
      <c r="J75" s="56"/>
      <c r="K75" s="56"/>
      <c r="L75" s="56"/>
      <c r="M75" s="67">
        <f>117815</f>
        <v>117815</v>
      </c>
      <c r="N75" s="56"/>
      <c r="O75" s="62">
        <f>P75+Q75</f>
        <v>235630</v>
      </c>
      <c r="P75" s="58">
        <f>Q75+R75</f>
        <v>117815</v>
      </c>
      <c r="Q75" s="46">
        <f>117815</f>
        <v>117815</v>
      </c>
      <c r="R75" s="78"/>
      <c r="S75" s="78"/>
      <c r="T75" s="46">
        <f>5874.96+10528.68+2678.52+4068.84+4824.24+994.56</f>
        <v>28969.8</v>
      </c>
      <c r="U75" s="46"/>
      <c r="V75" s="79">
        <v>36100</v>
      </c>
      <c r="W75" s="50"/>
      <c r="X75" s="46">
        <f>5874.96+10528.68+2678.52+4068.84+4824.24+994.56</f>
        <v>28969.8</v>
      </c>
      <c r="Y75" s="69">
        <f t="shared" si="9"/>
        <v>24.589228875779824</v>
      </c>
      <c r="Z75" s="59">
        <v>36100</v>
      </c>
      <c r="AA75" s="74">
        <f t="shared" si="10"/>
        <v>30.641259601918264</v>
      </c>
      <c r="AB75" s="76">
        <f t="shared" si="11"/>
        <v>-81715</v>
      </c>
      <c r="AC75" s="272"/>
      <c r="AD75" s="186">
        <f t="shared" si="8"/>
        <v>36100</v>
      </c>
      <c r="AE75" s="59">
        <f>Z75</f>
        <v>36100</v>
      </c>
      <c r="AF75" s="136"/>
      <c r="AG75" s="88"/>
      <c r="AH75" s="221">
        <f>10774.62+6345.33</f>
        <v>17119.95</v>
      </c>
      <c r="AI75" s="75">
        <f t="shared" si="6"/>
        <v>47.42368421052632</v>
      </c>
    </row>
    <row r="76" spans="1:35" s="1" customFormat="1" ht="17.25" customHeight="1">
      <c r="A76" s="38"/>
      <c r="B76" s="38"/>
      <c r="C76" s="39"/>
      <c r="D76" s="55" t="s">
        <v>121</v>
      </c>
      <c r="E76" s="56"/>
      <c r="F76" s="56"/>
      <c r="G76" s="56"/>
      <c r="H76" s="56"/>
      <c r="I76" s="56"/>
      <c r="J76" s="56"/>
      <c r="K76" s="56"/>
      <c r="L76" s="56"/>
      <c r="M76" s="67"/>
      <c r="N76" s="56"/>
      <c r="O76" s="62"/>
      <c r="P76" s="58"/>
      <c r="Q76" s="46"/>
      <c r="R76" s="78"/>
      <c r="S76" s="78"/>
      <c r="T76" s="46"/>
      <c r="U76" s="46"/>
      <c r="V76" s="79"/>
      <c r="W76" s="50"/>
      <c r="X76" s="46"/>
      <c r="Y76" s="69"/>
      <c r="Z76" s="59"/>
      <c r="AA76" s="74"/>
      <c r="AB76" s="76"/>
      <c r="AC76" s="272"/>
      <c r="AD76" s="186">
        <f t="shared" si="8"/>
        <v>29200</v>
      </c>
      <c r="AE76" s="59">
        <f>Z77</f>
        <v>29200</v>
      </c>
      <c r="AF76" s="136"/>
      <c r="AG76" s="88"/>
      <c r="AH76" s="221">
        <f>991.77+516.4+534.22+353.35</f>
        <v>2395.7400000000002</v>
      </c>
      <c r="AI76" s="75">
        <f t="shared" si="6"/>
        <v>8.204589041095891</v>
      </c>
    </row>
    <row r="77" spans="1:35" s="1" customFormat="1" ht="36" customHeight="1">
      <c r="A77" s="38"/>
      <c r="B77" s="38"/>
      <c r="C77" s="39" t="s">
        <v>118</v>
      </c>
      <c r="D77" s="77" t="s">
        <v>122</v>
      </c>
      <c r="E77" s="56">
        <v>22463.7</v>
      </c>
      <c r="F77" s="56">
        <f>7156.8+15302.9</f>
        <v>22459.7</v>
      </c>
      <c r="G77" s="56">
        <f>1375.6+2420.3</f>
        <v>3795.9</v>
      </c>
      <c r="H77" s="56">
        <v>18663.8</v>
      </c>
      <c r="I77" s="56">
        <v>26758.69305</v>
      </c>
      <c r="J77" s="56" t="e">
        <f>#REF!+#REF!+#REF!+#REF!</f>
        <v>#REF!</v>
      </c>
      <c r="K77" s="56" t="e">
        <f>#REF!+#REF!+#REF!+#REF!</f>
        <v>#REF!</v>
      </c>
      <c r="L77" s="56"/>
      <c r="M77" s="67">
        <v>20685</v>
      </c>
      <c r="N77" s="56" t="s">
        <v>64</v>
      </c>
      <c r="O77" s="62">
        <f>P77+Q77</f>
        <v>41370</v>
      </c>
      <c r="P77" s="58">
        <f>Q77+R77</f>
        <v>20685</v>
      </c>
      <c r="Q77" s="46">
        <v>20685</v>
      </c>
      <c r="R77" s="78"/>
      <c r="S77" s="78"/>
      <c r="T77" s="46">
        <f>848.74+587.05+557.5+750.92+889.87+917.3+825</f>
        <v>5376.38</v>
      </c>
      <c r="U77" s="46"/>
      <c r="V77" s="79">
        <v>29200</v>
      </c>
      <c r="W77" s="50"/>
      <c r="X77" s="46">
        <f>848.74+587.05+557.5+750.92+889.87+917.3+825</f>
        <v>5376.38</v>
      </c>
      <c r="Y77" s="69">
        <f>X77/P77*100</f>
        <v>25.991684795745712</v>
      </c>
      <c r="Z77" s="59">
        <v>29200</v>
      </c>
      <c r="AA77" s="74">
        <f>Z77/P77*100</f>
        <v>141.16509547981627</v>
      </c>
      <c r="AB77" s="76">
        <f>Z77-P77</f>
        <v>8515</v>
      </c>
      <c r="AC77" s="272"/>
      <c r="AD77" s="186">
        <f t="shared" si="8"/>
        <v>710200</v>
      </c>
      <c r="AE77" s="59">
        <f>680402.75+29797.25</f>
        <v>710200</v>
      </c>
      <c r="AF77" s="136"/>
      <c r="AG77" s="88"/>
      <c r="AH77" s="221">
        <f>94143.81+11352.5+2497.55+26627.8+5858.11+9600+11352.5+2497.55+1195.2+23010+21462.63+4805.26+19681.65+31099.8+6841.95+1970.08+433.42+3845+10755+2366.1</f>
        <v>291395.91</v>
      </c>
      <c r="AI77" s="75">
        <f t="shared" si="6"/>
        <v>41.03011968459588</v>
      </c>
    </row>
    <row r="78" spans="1:35" s="2" customFormat="1" ht="18.75">
      <c r="A78" s="169"/>
      <c r="B78" s="169" t="s">
        <v>33</v>
      </c>
      <c r="C78" s="170"/>
      <c r="D78" s="61" t="s">
        <v>123</v>
      </c>
      <c r="E78" s="56"/>
      <c r="F78" s="56"/>
      <c r="G78" s="56"/>
      <c r="H78" s="56"/>
      <c r="I78" s="56"/>
      <c r="J78" s="56"/>
      <c r="K78" s="56"/>
      <c r="L78" s="56"/>
      <c r="M78" s="89"/>
      <c r="N78" s="83"/>
      <c r="O78" s="66"/>
      <c r="P78" s="65" t="e">
        <f>P79+P80+#REF!+P81+P82</f>
        <v>#REF!</v>
      </c>
      <c r="Q78" s="233"/>
      <c r="R78" s="230"/>
      <c r="S78" s="230"/>
      <c r="T78" s="233"/>
      <c r="U78" s="233"/>
      <c r="V78" s="89"/>
      <c r="W78" s="89"/>
      <c r="X78" s="233"/>
      <c r="Y78" s="234"/>
      <c r="Z78" s="65" t="e">
        <f>Z79+Z80+#REF!+Z81+Z82</f>
        <v>#REF!</v>
      </c>
      <c r="AA78" s="89"/>
      <c r="AB78" s="232"/>
      <c r="AC78" s="230"/>
      <c r="AD78" s="186">
        <f t="shared" si="8"/>
        <v>26927959.392149</v>
      </c>
      <c r="AE78" s="65">
        <f>AE79+AE80+AE81+AE82+AE83</f>
        <v>26927959.392149</v>
      </c>
      <c r="AF78" s="230"/>
      <c r="AG78" s="230"/>
      <c r="AH78" s="222">
        <f>AH79+AH80+AH81+AH82</f>
        <v>13705193.510000002</v>
      </c>
      <c r="AI78" s="75">
        <f t="shared" si="6"/>
        <v>50.89577457546163</v>
      </c>
    </row>
    <row r="79" spans="1:35" ht="18.75">
      <c r="A79" s="36" t="s">
        <v>124</v>
      </c>
      <c r="B79" s="36"/>
      <c r="C79" s="39" t="s">
        <v>125</v>
      </c>
      <c r="D79" s="77" t="s">
        <v>126</v>
      </c>
      <c r="E79" s="57"/>
      <c r="F79" s="57"/>
      <c r="G79" s="57"/>
      <c r="H79" s="57"/>
      <c r="I79" s="57"/>
      <c r="J79" s="57"/>
      <c r="K79" s="57"/>
      <c r="L79" s="57"/>
      <c r="M79" s="58">
        <v>5104000</v>
      </c>
      <c r="N79" s="71"/>
      <c r="O79" s="62">
        <f>P79+Q79</f>
        <v>8219357.757999999</v>
      </c>
      <c r="P79" s="58">
        <f>Q79+R79</f>
        <v>4109678.8789999997</v>
      </c>
      <c r="Q79" s="67">
        <f>5104000-994321.121</f>
        <v>4109678.8789999997</v>
      </c>
      <c r="R79" s="78"/>
      <c r="S79" s="78"/>
      <c r="T79" s="67">
        <f>307554.9+660163.29+188518.82+197590.73+136793.57+167192.17+227989.31+243188.57+455978.54</f>
        <v>2584969.9</v>
      </c>
      <c r="U79" s="67"/>
      <c r="V79" s="67">
        <v>0</v>
      </c>
      <c r="W79" s="67"/>
      <c r="X79" s="67">
        <f>307554.9+660163.29+188518.82+197590.73+136793.57+167192.17+227989.31+243188.57+455978.54+258387.82</f>
        <v>2843357.7199999997</v>
      </c>
      <c r="Y79" s="69">
        <f>X79/P79*100</f>
        <v>69.18685872342095</v>
      </c>
      <c r="Z79" s="59">
        <v>8044223</v>
      </c>
      <c r="AA79" s="67">
        <f>Z79/P79*100</f>
        <v>195.73848071451718</v>
      </c>
      <c r="AB79" s="80">
        <f>Z79-P79</f>
        <v>3934544.1210000003</v>
      </c>
      <c r="AC79" s="68" t="s">
        <v>127</v>
      </c>
      <c r="AD79" s="186">
        <f t="shared" si="8"/>
        <v>4442562.868199</v>
      </c>
      <c r="AE79" s="59">
        <f>P79+P79*8.1%</f>
        <v>4442562.868199</v>
      </c>
      <c r="AF79" s="136"/>
      <c r="AG79" s="136"/>
      <c r="AH79" s="222">
        <f>948917.94+163090.75+163090.74+179399.82+163090.75+228327.04+97854.45+195708.9+163090.75+146781.67+163090.75</f>
        <v>2612443.56</v>
      </c>
      <c r="AI79" s="75">
        <f t="shared" si="6"/>
        <v>58.804875417758026</v>
      </c>
    </row>
    <row r="80" spans="1:35" ht="18.75">
      <c r="A80" s="36" t="s">
        <v>128</v>
      </c>
      <c r="B80" s="36"/>
      <c r="C80" s="39" t="s">
        <v>125</v>
      </c>
      <c r="D80" s="55" t="s">
        <v>129</v>
      </c>
      <c r="E80" s="57"/>
      <c r="F80" s="57"/>
      <c r="G80" s="57"/>
      <c r="H80" s="57"/>
      <c r="I80" s="57"/>
      <c r="J80" s="57"/>
      <c r="K80" s="57"/>
      <c r="L80" s="57"/>
      <c r="M80" s="58">
        <v>15799500</v>
      </c>
      <c r="N80" s="71"/>
      <c r="O80" s="62">
        <f>P80+Q80</f>
        <v>38043075.9</v>
      </c>
      <c r="P80" s="58">
        <f>Q80+R80</f>
        <v>19021537.95</v>
      </c>
      <c r="Q80" s="67">
        <f>15542500+3519037.95-40000</f>
        <v>19021537.95</v>
      </c>
      <c r="R80" s="78"/>
      <c r="S80" s="78"/>
      <c r="T80" s="67">
        <f>395040.22+212576.7+295465.16+636768.36+460772.48+515858.1+296210.88+149458.82+365426.04+1037557.35+144057+311313.7+432171.11+724281.07+756983.36+259302.66+427860.16+868338.1+28811.41+296210.88+296210.88+464397.94+723078.32+459030.39+167192.17+68793.44+459030.39+52061.68+525077.93+453900.12+338400.92+347508+2124373.04-455978.54+80004.6+441257.4</f>
        <v>15158802.240000002</v>
      </c>
      <c r="U80" s="67"/>
      <c r="V80" s="67">
        <f>41814854.5-3647031.42</f>
        <v>38167823.08</v>
      </c>
      <c r="W80" s="67"/>
      <c r="X80" s="67">
        <f>395040.22+212576.7+295465.16+636768.36+460772.48+515858.1+296210.88+149458.82+365426.04+1037557.35+144057+311313.7+432171.11+724281.07+756983.36+259302.66+427860.16+868338.1+28811.41+296210.88+296210.88+464397.94+723078.32+459030.39+167192.17+68793.44+459030.39+52061.68+525077.93+453900.12+338400.92+347508+2124373.04-455978.54+80004.6+441257.4+709410.6</f>
        <v>15868212.840000002</v>
      </c>
      <c r="Y80" s="69">
        <f>X80/P80*100</f>
        <v>83.42234409074163</v>
      </c>
      <c r="Z80" s="59">
        <f>13776827+8308804.5+7685000</f>
        <v>29770631.5</v>
      </c>
      <c r="AA80" s="67">
        <f>Z80/P80*100</f>
        <v>156.51011804752625</v>
      </c>
      <c r="AB80" s="80">
        <f>Z80-P80</f>
        <v>10749093.55</v>
      </c>
      <c r="AC80" s="78"/>
      <c r="AD80" s="186">
        <f t="shared" si="8"/>
        <v>20562282.52395</v>
      </c>
      <c r="AE80" s="59">
        <f>P80+P80*8.1%</f>
        <v>20562282.52395</v>
      </c>
      <c r="AF80" s="136"/>
      <c r="AG80" s="136"/>
      <c r="AH80" s="221">
        <f>5188613.57+805957.41+217308.34+168393.6+248352.38+168297.6+725973.54+436443.28+77738.63+398809.3+124176.19+431084.58+345928.06+369501.07+177428.71+452843.89+278796.45+112957.7+364145.65</f>
        <v>11092749.950000001</v>
      </c>
      <c r="AI80" s="75">
        <f t="shared" si="6"/>
        <v>53.947074878869486</v>
      </c>
    </row>
    <row r="81" spans="1:35" ht="16.5" customHeight="1">
      <c r="A81" s="36"/>
      <c r="B81" s="36"/>
      <c r="C81" s="39"/>
      <c r="D81" s="55" t="s">
        <v>130</v>
      </c>
      <c r="E81" s="56"/>
      <c r="F81" s="56"/>
      <c r="G81" s="56"/>
      <c r="H81" s="56"/>
      <c r="I81" s="56"/>
      <c r="J81" s="56"/>
      <c r="K81" s="56"/>
      <c r="L81" s="56"/>
      <c r="M81" s="82"/>
      <c r="N81" s="83"/>
      <c r="O81" s="84"/>
      <c r="P81" s="58">
        <v>0</v>
      </c>
      <c r="Q81" s="67"/>
      <c r="R81" s="78"/>
      <c r="S81" s="78"/>
      <c r="T81" s="67"/>
      <c r="U81" s="67"/>
      <c r="V81" s="67"/>
      <c r="W81" s="67"/>
      <c r="X81" s="67"/>
      <c r="Y81" s="69"/>
      <c r="Z81" s="59">
        <v>400000</v>
      </c>
      <c r="AA81" s="74"/>
      <c r="AB81" s="76"/>
      <c r="AC81" s="136"/>
      <c r="AD81" s="186">
        <f t="shared" si="8"/>
        <v>200000</v>
      </c>
      <c r="AE81" s="59">
        <f>Z81-200000</f>
        <v>200000</v>
      </c>
      <c r="AF81" s="136"/>
      <c r="AG81" s="136"/>
      <c r="AH81" s="222">
        <v>0</v>
      </c>
      <c r="AI81" s="75">
        <f t="shared" si="6"/>
        <v>0</v>
      </c>
    </row>
    <row r="82" spans="1:35" ht="18.75">
      <c r="A82" s="36"/>
      <c r="B82" s="36"/>
      <c r="C82" s="39"/>
      <c r="D82" s="55" t="s">
        <v>131</v>
      </c>
      <c r="E82" s="56"/>
      <c r="F82" s="56"/>
      <c r="G82" s="56"/>
      <c r="H82" s="56"/>
      <c r="I82" s="56"/>
      <c r="J82" s="56"/>
      <c r="K82" s="56"/>
      <c r="L82" s="56"/>
      <c r="M82" s="82"/>
      <c r="N82" s="83"/>
      <c r="O82" s="84"/>
      <c r="P82" s="58">
        <v>0</v>
      </c>
      <c r="Q82" s="67"/>
      <c r="R82" s="78"/>
      <c r="S82" s="78"/>
      <c r="T82" s="67"/>
      <c r="U82" s="67"/>
      <c r="V82" s="67"/>
      <c r="W82" s="67"/>
      <c r="X82" s="67"/>
      <c r="Y82" s="69"/>
      <c r="Z82" s="59">
        <v>1723114</v>
      </c>
      <c r="AA82" s="74"/>
      <c r="AB82" s="76"/>
      <c r="AC82" s="136"/>
      <c r="AD82" s="186">
        <f t="shared" si="8"/>
        <v>1090324</v>
      </c>
      <c r="AE82" s="59">
        <f>1723114-632790</f>
        <v>1090324</v>
      </c>
      <c r="AF82" s="136"/>
      <c r="AG82" s="136"/>
      <c r="AH82" s="222">
        <v>0</v>
      </c>
      <c r="AI82" s="75">
        <f t="shared" si="6"/>
        <v>0</v>
      </c>
    </row>
    <row r="83" spans="1:35" ht="18.75">
      <c r="A83" s="36"/>
      <c r="B83" s="36"/>
      <c r="C83" s="39"/>
      <c r="D83" s="55" t="s">
        <v>236</v>
      </c>
      <c r="E83" s="56"/>
      <c r="F83" s="56"/>
      <c r="G83" s="56"/>
      <c r="H83" s="56"/>
      <c r="I83" s="56"/>
      <c r="J83" s="56"/>
      <c r="K83" s="56"/>
      <c r="L83" s="56"/>
      <c r="M83" s="82"/>
      <c r="N83" s="83"/>
      <c r="O83" s="84"/>
      <c r="P83" s="58"/>
      <c r="Q83" s="67"/>
      <c r="R83" s="78"/>
      <c r="S83" s="78"/>
      <c r="T83" s="67"/>
      <c r="U83" s="67"/>
      <c r="V83" s="67"/>
      <c r="W83" s="67"/>
      <c r="X83" s="67"/>
      <c r="Y83" s="69"/>
      <c r="Z83" s="59"/>
      <c r="AA83" s="74"/>
      <c r="AB83" s="76"/>
      <c r="AC83" s="136"/>
      <c r="AD83" s="186">
        <f>AE83</f>
        <v>632790</v>
      </c>
      <c r="AE83" s="59">
        <v>632790</v>
      </c>
      <c r="AF83" s="136"/>
      <c r="AG83" s="136"/>
      <c r="AH83" s="222">
        <v>0</v>
      </c>
      <c r="AI83" s="75">
        <f t="shared" si="6"/>
        <v>0</v>
      </c>
    </row>
    <row r="84" spans="1:35" s="2" customFormat="1" ht="18.75">
      <c r="A84" s="169" t="s">
        <v>132</v>
      </c>
      <c r="B84" s="169" t="s">
        <v>34</v>
      </c>
      <c r="C84" s="170" t="s">
        <v>134</v>
      </c>
      <c r="D84" s="85" t="s">
        <v>135</v>
      </c>
      <c r="E84" s="56"/>
      <c r="F84" s="56"/>
      <c r="G84" s="56"/>
      <c r="H84" s="56"/>
      <c r="I84" s="56"/>
      <c r="J84" s="56"/>
      <c r="K84" s="56"/>
      <c r="L84" s="56"/>
      <c r="M84" s="65">
        <v>0</v>
      </c>
      <c r="N84" s="83"/>
      <c r="O84" s="66">
        <f>P84+Q84</f>
        <v>514000</v>
      </c>
      <c r="P84" s="65">
        <f>Q84+R84</f>
        <v>257000</v>
      </c>
      <c r="Q84" s="89">
        <v>257000</v>
      </c>
      <c r="R84" s="230"/>
      <c r="S84" s="230"/>
      <c r="T84" s="89">
        <f>23700.62+50875.25+50875.25+50775.25</f>
        <v>176226.37</v>
      </c>
      <c r="U84" s="89"/>
      <c r="V84" s="89">
        <f>P84*(0.9)</f>
        <v>231300</v>
      </c>
      <c r="W84" s="89"/>
      <c r="X84" s="89">
        <f>23700.62+50875.25+50875.25+50775.25</f>
        <v>176226.37</v>
      </c>
      <c r="Y84" s="75">
        <f>X84/P84*100</f>
        <v>68.57057198443579</v>
      </c>
      <c r="Z84" s="197">
        <v>346347.28</v>
      </c>
      <c r="AA84" s="89">
        <f>Z84/P84*100</f>
        <v>134.7654785992218</v>
      </c>
      <c r="AB84" s="232">
        <f>Z84-P84</f>
        <v>89347.28000000003</v>
      </c>
      <c r="AC84" s="230"/>
      <c r="AD84" s="186">
        <f t="shared" si="8"/>
        <v>277817</v>
      </c>
      <c r="AE84" s="197">
        <f>P84+P84*8.1%</f>
        <v>277817</v>
      </c>
      <c r="AF84" s="230"/>
      <c r="AG84" s="230"/>
      <c r="AH84" s="222">
        <f>AH85</f>
        <v>277817</v>
      </c>
      <c r="AI84" s="75">
        <f t="shared" si="6"/>
        <v>100</v>
      </c>
    </row>
    <row r="85" spans="1:35" s="2" customFormat="1" ht="37.5">
      <c r="A85" s="169"/>
      <c r="B85" s="169"/>
      <c r="C85" s="170"/>
      <c r="D85" s="55" t="s">
        <v>220</v>
      </c>
      <c r="E85" s="56"/>
      <c r="F85" s="56"/>
      <c r="G85" s="56"/>
      <c r="H85" s="56"/>
      <c r="I85" s="56"/>
      <c r="J85" s="56"/>
      <c r="K85" s="56"/>
      <c r="L85" s="56"/>
      <c r="M85" s="65"/>
      <c r="N85" s="83"/>
      <c r="O85" s="66"/>
      <c r="P85" s="65"/>
      <c r="Q85" s="89"/>
      <c r="R85" s="230"/>
      <c r="S85" s="230"/>
      <c r="T85" s="89"/>
      <c r="U85" s="89"/>
      <c r="V85" s="89"/>
      <c r="W85" s="89"/>
      <c r="X85" s="89"/>
      <c r="Y85" s="75"/>
      <c r="Z85" s="197"/>
      <c r="AA85" s="89"/>
      <c r="AB85" s="232"/>
      <c r="AC85" s="230"/>
      <c r="AD85" s="235">
        <f t="shared" si="8"/>
        <v>277817</v>
      </c>
      <c r="AE85" s="59">
        <f>AE84</f>
        <v>277817</v>
      </c>
      <c r="AF85" s="230"/>
      <c r="AG85" s="230"/>
      <c r="AH85" s="222">
        <f>250800+27017</f>
        <v>277817</v>
      </c>
      <c r="AI85" s="75">
        <f t="shared" si="6"/>
        <v>100</v>
      </c>
    </row>
    <row r="86" spans="1:35" s="2" customFormat="1" ht="16.5" customHeight="1">
      <c r="A86" s="169" t="s">
        <v>136</v>
      </c>
      <c r="B86" s="169" t="s">
        <v>35</v>
      </c>
      <c r="C86" s="170" t="s">
        <v>138</v>
      </c>
      <c r="D86" s="85" t="s">
        <v>139</v>
      </c>
      <c r="E86" s="56"/>
      <c r="F86" s="56"/>
      <c r="G86" s="56"/>
      <c r="H86" s="56"/>
      <c r="I86" s="56"/>
      <c r="J86" s="56"/>
      <c r="K86" s="56"/>
      <c r="L86" s="56"/>
      <c r="M86" s="89">
        <f>L86</f>
        <v>0</v>
      </c>
      <c r="N86" s="83"/>
      <c r="O86" s="66">
        <f>O87</f>
        <v>1930883.46</v>
      </c>
      <c r="P86" s="65">
        <f>P87</f>
        <v>1930883.46</v>
      </c>
      <c r="Q86" s="89">
        <f>P86</f>
        <v>1930883.46</v>
      </c>
      <c r="R86" s="63"/>
      <c r="S86" s="63"/>
      <c r="T86" s="89">
        <f>T87</f>
        <v>859642.65</v>
      </c>
      <c r="U86" s="89"/>
      <c r="V86" s="89">
        <f>P86*(0.9)</f>
        <v>1737795.114</v>
      </c>
      <c r="W86" s="89"/>
      <c r="X86" s="89">
        <f>X87</f>
        <v>859642.65</v>
      </c>
      <c r="Y86" s="75">
        <f>X86/P86*100</f>
        <v>44.52069054442053</v>
      </c>
      <c r="Z86" s="197">
        <f>Z87</f>
        <v>17397438</v>
      </c>
      <c r="AA86" s="89">
        <f aca="true" t="shared" si="13" ref="AA86:AA92">Z86/P86*100</f>
        <v>901.0092198935714</v>
      </c>
      <c r="AB86" s="232">
        <f aca="true" t="shared" si="14" ref="AB86:AB92">Z86-P86</f>
        <v>15466554.54</v>
      </c>
      <c r="AC86" s="63"/>
      <c r="AD86" s="186">
        <f t="shared" si="8"/>
        <v>7173700</v>
      </c>
      <c r="AE86" s="197">
        <f>AE87+AE93</f>
        <v>7173700</v>
      </c>
      <c r="AF86" s="230"/>
      <c r="AG86" s="230"/>
      <c r="AH86" s="222">
        <f>AH87</f>
        <v>2947866.19</v>
      </c>
      <c r="AI86" s="75">
        <f aca="true" t="shared" si="15" ref="AI86:AI112">AH86/AE86*100</f>
        <v>41.092688431353416</v>
      </c>
    </row>
    <row r="87" spans="1:37" ht="57" customHeight="1">
      <c r="A87" s="36"/>
      <c r="B87" s="36"/>
      <c r="C87" s="39"/>
      <c r="D87" s="55" t="s">
        <v>235</v>
      </c>
      <c r="E87" s="56"/>
      <c r="F87" s="56"/>
      <c r="G87" s="56"/>
      <c r="H87" s="56"/>
      <c r="I87" s="56"/>
      <c r="J87" s="56"/>
      <c r="K87" s="56"/>
      <c r="L87" s="56"/>
      <c r="M87" s="65">
        <v>0</v>
      </c>
      <c r="N87" s="83"/>
      <c r="O87" s="66">
        <f>P87</f>
        <v>1930883.46</v>
      </c>
      <c r="P87" s="58">
        <v>1930883.46</v>
      </c>
      <c r="Q87" s="67">
        <v>1589311.46</v>
      </c>
      <c r="R87" s="68"/>
      <c r="S87" s="68"/>
      <c r="T87" s="50">
        <f>201636.21+106959.16+388332+795.26+161920.02</f>
        <v>859642.65</v>
      </c>
      <c r="U87" s="50"/>
      <c r="V87" s="50">
        <f>V88+V89</f>
        <v>17397438</v>
      </c>
      <c r="W87" s="50">
        <v>10385400</v>
      </c>
      <c r="X87" s="67">
        <f>201636.21+106959.16+388332+795.26+161920.02</f>
        <v>859642.65</v>
      </c>
      <c r="Y87" s="69">
        <f>X87/P87*100</f>
        <v>44.52069054442053</v>
      </c>
      <c r="Z87" s="59">
        <v>17397438</v>
      </c>
      <c r="AA87" s="50">
        <f t="shared" si="13"/>
        <v>901.0092198935714</v>
      </c>
      <c r="AB87" s="51">
        <f t="shared" si="14"/>
        <v>15466554.54</v>
      </c>
      <c r="AC87" s="78" t="s">
        <v>140</v>
      </c>
      <c r="AD87" s="235">
        <f t="shared" si="8"/>
        <v>7023700</v>
      </c>
      <c r="AE87" s="198">
        <v>7023700</v>
      </c>
      <c r="AF87" s="63"/>
      <c r="AG87" s="63"/>
      <c r="AH87" s="201">
        <f>956537.59+157430.78+70729.77+216774.62+262291.41+34296+344138.34+1517.33+279207.2+343997.88+2676.91+268283.02+9985.34</f>
        <v>2947866.19</v>
      </c>
      <c r="AI87" s="69">
        <f t="shared" si="15"/>
        <v>41.97027478394578</v>
      </c>
      <c r="AK87" s="93"/>
    </row>
    <row r="88" spans="1:35" ht="18.75" hidden="1">
      <c r="A88" s="36"/>
      <c r="B88" s="36"/>
      <c r="C88" s="39"/>
      <c r="D88" s="86" t="s">
        <v>141</v>
      </c>
      <c r="E88" s="56"/>
      <c r="F88" s="56"/>
      <c r="G88" s="56"/>
      <c r="H88" s="56"/>
      <c r="I88" s="56"/>
      <c r="J88" s="56"/>
      <c r="K88" s="56"/>
      <c r="L88" s="56"/>
      <c r="M88" s="65">
        <v>0</v>
      </c>
      <c r="N88" s="83"/>
      <c r="O88" s="62"/>
      <c r="P88" s="87">
        <v>1145765.29</v>
      </c>
      <c r="Q88" s="67"/>
      <c r="R88" s="88"/>
      <c r="S88" s="88"/>
      <c r="T88" s="74"/>
      <c r="U88" s="74"/>
      <c r="V88" s="67">
        <v>12523990</v>
      </c>
      <c r="W88" s="67"/>
      <c r="X88" s="89"/>
      <c r="Y88" s="75"/>
      <c r="Z88" s="90">
        <v>12523990</v>
      </c>
      <c r="AA88" s="74">
        <f t="shared" si="13"/>
        <v>1093.0676735721327</v>
      </c>
      <c r="AB88" s="76">
        <f t="shared" si="14"/>
        <v>11378224.71</v>
      </c>
      <c r="AC88" s="136"/>
      <c r="AD88" s="235">
        <f t="shared" si="8"/>
        <v>0</v>
      </c>
      <c r="AE88" s="59"/>
      <c r="AF88" s="136"/>
      <c r="AG88" s="136"/>
      <c r="AH88" s="202"/>
      <c r="AI88" s="69" t="e">
        <f t="shared" si="15"/>
        <v>#DIV/0!</v>
      </c>
    </row>
    <row r="89" spans="1:35" ht="18.75" hidden="1">
      <c r="A89" s="36"/>
      <c r="B89" s="36"/>
      <c r="C89" s="39"/>
      <c r="D89" s="86" t="s">
        <v>142</v>
      </c>
      <c r="E89" s="56"/>
      <c r="F89" s="56"/>
      <c r="G89" s="56"/>
      <c r="H89" s="56"/>
      <c r="I89" s="56"/>
      <c r="J89" s="56"/>
      <c r="K89" s="56"/>
      <c r="L89" s="56"/>
      <c r="M89" s="65">
        <v>0</v>
      </c>
      <c r="N89" s="83"/>
      <c r="O89" s="62"/>
      <c r="P89" s="87">
        <v>443546.17</v>
      </c>
      <c r="Q89" s="67"/>
      <c r="R89" s="88"/>
      <c r="S89" s="88"/>
      <c r="T89" s="74"/>
      <c r="U89" s="74"/>
      <c r="V89" s="67">
        <v>4873448</v>
      </c>
      <c r="W89" s="67"/>
      <c r="X89" s="89"/>
      <c r="Y89" s="75"/>
      <c r="Z89" s="90">
        <v>4873448</v>
      </c>
      <c r="AA89" s="74">
        <f t="shared" si="13"/>
        <v>1098.746495770666</v>
      </c>
      <c r="AB89" s="76">
        <f t="shared" si="14"/>
        <v>4429901.83</v>
      </c>
      <c r="AC89" s="136"/>
      <c r="AD89" s="235">
        <f t="shared" si="8"/>
        <v>0</v>
      </c>
      <c r="AE89" s="59"/>
      <c r="AF89" s="136"/>
      <c r="AG89" s="136"/>
      <c r="AH89" s="202"/>
      <c r="AI89" s="69" t="e">
        <f t="shared" si="15"/>
        <v>#DIV/0!</v>
      </c>
    </row>
    <row r="90" spans="1:35" ht="18.75" hidden="1">
      <c r="A90" s="36" t="s">
        <v>143</v>
      </c>
      <c r="B90" s="36"/>
      <c r="C90" s="92"/>
      <c r="D90" s="236" t="s">
        <v>144</v>
      </c>
      <c r="E90" s="73">
        <f>20554.4+1254+42.4</f>
        <v>21850.800000000003</v>
      </c>
      <c r="F90" s="73">
        <f>20118.2+1254+42.4</f>
        <v>21414.600000000002</v>
      </c>
      <c r="G90" s="73">
        <f>166.5+18.4</f>
        <v>184.9</v>
      </c>
      <c r="H90" s="73">
        <f>19951.7+1254+24</f>
        <v>21229.7</v>
      </c>
      <c r="I90" s="237">
        <f>25447.6+198</f>
        <v>25645.6</v>
      </c>
      <c r="J90" s="237">
        <v>10120.4</v>
      </c>
      <c r="K90" s="73">
        <v>21229.7</v>
      </c>
      <c r="L90" s="237"/>
      <c r="M90" s="74">
        <f>M91+M92</f>
        <v>25052300</v>
      </c>
      <c r="N90" s="237"/>
      <c r="O90" s="84">
        <f>P90+Q90</f>
        <v>18162154.96</v>
      </c>
      <c r="P90" s="82"/>
      <c r="Q90" s="74">
        <f>Q91+Q92</f>
        <v>18162154.96</v>
      </c>
      <c r="R90" s="136"/>
      <c r="S90" s="136"/>
      <c r="T90" s="74">
        <f>T91+T92</f>
        <v>18162151.85</v>
      </c>
      <c r="U90" s="74"/>
      <c r="V90" s="74">
        <v>0</v>
      </c>
      <c r="W90" s="74"/>
      <c r="X90" s="74">
        <f>X91+X92</f>
        <v>18162151.85</v>
      </c>
      <c r="Y90" s="75" t="e">
        <f>X90/P90*100</f>
        <v>#DIV/0!</v>
      </c>
      <c r="Z90" s="82">
        <f>Z91+Z92</f>
        <v>0</v>
      </c>
      <c r="AA90" s="74" t="e">
        <f t="shared" si="13"/>
        <v>#DIV/0!</v>
      </c>
      <c r="AB90" s="76">
        <f t="shared" si="14"/>
        <v>0</v>
      </c>
      <c r="AC90" s="136"/>
      <c r="AD90" s="235">
        <f t="shared" si="8"/>
        <v>0</v>
      </c>
      <c r="AE90" s="59"/>
      <c r="AF90" s="136"/>
      <c r="AG90" s="136"/>
      <c r="AH90" s="202"/>
      <c r="AI90" s="69" t="e">
        <f t="shared" si="15"/>
        <v>#DIV/0!</v>
      </c>
    </row>
    <row r="91" spans="1:35" ht="56.25" hidden="1">
      <c r="A91" s="38"/>
      <c r="B91" s="38"/>
      <c r="C91" s="273" t="s">
        <v>145</v>
      </c>
      <c r="D91" s="168" t="s">
        <v>91</v>
      </c>
      <c r="E91" s="56"/>
      <c r="F91" s="56"/>
      <c r="G91" s="56"/>
      <c r="H91" s="56"/>
      <c r="I91" s="238"/>
      <c r="J91" s="238"/>
      <c r="K91" s="238"/>
      <c r="L91" s="239"/>
      <c r="M91" s="98">
        <v>7232100</v>
      </c>
      <c r="N91" s="83"/>
      <c r="O91" s="62">
        <f>P91+Q91</f>
        <v>13707388.44</v>
      </c>
      <c r="P91" s="58">
        <f>Q91+R91</f>
        <v>6853694.22</v>
      </c>
      <c r="Q91" s="46">
        <f>7232100-378405.78</f>
        <v>6853694.22</v>
      </c>
      <c r="R91" s="136"/>
      <c r="S91" s="136"/>
      <c r="T91" s="46">
        <f>1341065+264830+1439254.25+119395.75+507870+59340+35936.5+335196.18+472850.38+220509.52+38684.18+107682.7+71415+175089.2+268474.5+377603.92+171362.7+194439.28+227897.54+71415+353382.62</f>
        <v>6853694.220000001</v>
      </c>
      <c r="U91" s="46"/>
      <c r="V91" s="74">
        <v>0</v>
      </c>
      <c r="W91" s="74"/>
      <c r="X91" s="46">
        <f>1341065+264830+1439254.25+119395.75+507870+59340+35936.5+335196.18+472850.38+220509.52+38684.18+107682.7+71415+175089.2+268474.5+377603.92+171362.7+194439.28+227897.54+71415+353382.62</f>
        <v>6853694.220000001</v>
      </c>
      <c r="Y91" s="64">
        <f>X91/P91*100</f>
        <v>100.00000000000003</v>
      </c>
      <c r="Z91" s="116">
        <v>0</v>
      </c>
      <c r="AA91" s="74">
        <f t="shared" si="13"/>
        <v>0</v>
      </c>
      <c r="AB91" s="76">
        <f t="shared" si="14"/>
        <v>-6853694.22</v>
      </c>
      <c r="AC91" s="136"/>
      <c r="AD91" s="235">
        <f t="shared" si="8"/>
        <v>0</v>
      </c>
      <c r="AE91" s="59"/>
      <c r="AF91" s="136"/>
      <c r="AG91" s="136"/>
      <c r="AH91" s="240"/>
      <c r="AI91" s="69" t="e">
        <f t="shared" si="15"/>
        <v>#DIV/0!</v>
      </c>
    </row>
    <row r="92" spans="1:35" ht="56.25" hidden="1">
      <c r="A92" s="38"/>
      <c r="B92" s="38"/>
      <c r="C92" s="273"/>
      <c r="D92" s="196" t="s">
        <v>92</v>
      </c>
      <c r="E92" s="56"/>
      <c r="F92" s="56"/>
      <c r="G92" s="56"/>
      <c r="H92" s="56"/>
      <c r="I92" s="238"/>
      <c r="J92" s="238"/>
      <c r="K92" s="238"/>
      <c r="L92" s="239"/>
      <c r="M92" s="98">
        <v>17820200</v>
      </c>
      <c r="N92" s="83"/>
      <c r="O92" s="62">
        <f>P92+Q92</f>
        <v>22616921.48</v>
      </c>
      <c r="P92" s="58">
        <f>Q92+R92</f>
        <v>11308460.74</v>
      </c>
      <c r="Q92" s="46">
        <f>17820200-6511739.26</f>
        <v>11308460.74</v>
      </c>
      <c r="R92" s="136"/>
      <c r="S92" s="136"/>
      <c r="T92" s="46">
        <f>485919.56+3050150.33+4015340.79+1228787.45+1461675.45+214759.4+851824.65</f>
        <v>11308457.629999999</v>
      </c>
      <c r="U92" s="46"/>
      <c r="V92" s="74">
        <v>0</v>
      </c>
      <c r="W92" s="74"/>
      <c r="X92" s="46">
        <f>485919.56+3050150.33+4015340.79+1228787.45+1461675.45+214759.4+851824.65</f>
        <v>11308457.629999999</v>
      </c>
      <c r="Y92" s="64">
        <f>X92/P92*100</f>
        <v>99.99997249846754</v>
      </c>
      <c r="Z92" s="116">
        <v>0</v>
      </c>
      <c r="AA92" s="74">
        <f t="shared" si="13"/>
        <v>0</v>
      </c>
      <c r="AB92" s="76">
        <f t="shared" si="14"/>
        <v>-11308460.74</v>
      </c>
      <c r="AC92" s="136"/>
      <c r="AD92" s="235">
        <f t="shared" si="8"/>
        <v>0</v>
      </c>
      <c r="AE92" s="59"/>
      <c r="AF92" s="136"/>
      <c r="AG92" s="136"/>
      <c r="AH92" s="202"/>
      <c r="AI92" s="69" t="e">
        <f t="shared" si="15"/>
        <v>#DIV/0!</v>
      </c>
    </row>
    <row r="93" spans="1:35" ht="37.5">
      <c r="A93" s="38"/>
      <c r="B93" s="38"/>
      <c r="C93" s="194"/>
      <c r="D93" s="196" t="s">
        <v>221</v>
      </c>
      <c r="E93" s="56"/>
      <c r="F93" s="56"/>
      <c r="G93" s="56"/>
      <c r="H93" s="56"/>
      <c r="I93" s="238"/>
      <c r="J93" s="238"/>
      <c r="K93" s="238"/>
      <c r="L93" s="239"/>
      <c r="M93" s="98"/>
      <c r="N93" s="83"/>
      <c r="O93" s="62"/>
      <c r="P93" s="58"/>
      <c r="Q93" s="46"/>
      <c r="R93" s="136"/>
      <c r="S93" s="136"/>
      <c r="T93" s="46"/>
      <c r="U93" s="46"/>
      <c r="V93" s="74"/>
      <c r="W93" s="74"/>
      <c r="X93" s="46"/>
      <c r="Y93" s="64"/>
      <c r="Z93" s="116"/>
      <c r="AA93" s="74"/>
      <c r="AB93" s="76"/>
      <c r="AC93" s="136"/>
      <c r="AD93" s="235">
        <f>AE93</f>
        <v>150000</v>
      </c>
      <c r="AE93" s="59">
        <v>150000</v>
      </c>
      <c r="AF93" s="136"/>
      <c r="AG93" s="136"/>
      <c r="AH93" s="201">
        <v>0</v>
      </c>
      <c r="AI93" s="69">
        <f t="shared" si="15"/>
        <v>0</v>
      </c>
    </row>
    <row r="94" spans="1:35" s="2" customFormat="1" ht="18.75">
      <c r="A94" s="169"/>
      <c r="B94" s="169" t="s">
        <v>36</v>
      </c>
      <c r="C94" s="170" t="s">
        <v>94</v>
      </c>
      <c r="D94" s="85" t="s">
        <v>95</v>
      </c>
      <c r="E94" s="56"/>
      <c r="F94" s="56"/>
      <c r="G94" s="56"/>
      <c r="H94" s="56"/>
      <c r="I94" s="56"/>
      <c r="J94" s="56"/>
      <c r="K94" s="56"/>
      <c r="L94" s="56"/>
      <c r="M94" s="65">
        <v>0</v>
      </c>
      <c r="N94" s="65">
        <v>0</v>
      </c>
      <c r="O94" s="65">
        <v>0</v>
      </c>
      <c r="P94" s="65">
        <v>0</v>
      </c>
      <c r="Q94" s="65">
        <v>0</v>
      </c>
      <c r="R94" s="65">
        <v>0</v>
      </c>
      <c r="S94" s="65">
        <v>0</v>
      </c>
      <c r="T94" s="65">
        <v>0</v>
      </c>
      <c r="U94" s="65"/>
      <c r="V94" s="89">
        <v>212856.4</v>
      </c>
      <c r="W94" s="89"/>
      <c r="X94" s="65">
        <v>0</v>
      </c>
      <c r="Y94" s="65">
        <v>0</v>
      </c>
      <c r="Z94" s="197">
        <f>Z95+Z96</f>
        <v>212856.4</v>
      </c>
      <c r="AA94" s="89"/>
      <c r="AB94" s="232">
        <f aca="true" t="shared" si="16" ref="AB94:AB108">Z94-P94</f>
        <v>212856.4</v>
      </c>
      <c r="AC94" s="63"/>
      <c r="AD94" s="186">
        <f aca="true" t="shared" si="17" ref="AD94:AD108">AE94+AF94</f>
        <v>212856.4</v>
      </c>
      <c r="AE94" s="197">
        <f>AE95+AE96</f>
        <v>212856.4</v>
      </c>
      <c r="AF94" s="230"/>
      <c r="AG94" s="230"/>
      <c r="AH94" s="222">
        <f>AH95+AH96</f>
        <v>0</v>
      </c>
      <c r="AI94" s="75">
        <f t="shared" si="15"/>
        <v>0</v>
      </c>
    </row>
    <row r="95" spans="1:35" ht="18.75">
      <c r="A95" s="38"/>
      <c r="B95" s="38"/>
      <c r="C95" s="39"/>
      <c r="D95" s="55" t="s">
        <v>150</v>
      </c>
      <c r="E95" s="73"/>
      <c r="F95" s="73"/>
      <c r="G95" s="73"/>
      <c r="H95" s="73"/>
      <c r="I95" s="73"/>
      <c r="J95" s="73"/>
      <c r="K95" s="73"/>
      <c r="L95" s="73"/>
      <c r="M95" s="58">
        <v>0</v>
      </c>
      <c r="N95" s="58">
        <v>0</v>
      </c>
      <c r="O95" s="58">
        <v>0</v>
      </c>
      <c r="P95" s="58">
        <v>0</v>
      </c>
      <c r="Q95" s="58">
        <v>0</v>
      </c>
      <c r="R95" s="58">
        <v>0</v>
      </c>
      <c r="S95" s="58">
        <v>0</v>
      </c>
      <c r="T95" s="58">
        <v>0</v>
      </c>
      <c r="U95" s="58"/>
      <c r="V95" s="74">
        <f>P95*(0.9)</f>
        <v>0</v>
      </c>
      <c r="W95" s="74"/>
      <c r="X95" s="58">
        <v>0</v>
      </c>
      <c r="Y95" s="58">
        <v>0</v>
      </c>
      <c r="Z95" s="59">
        <v>100000</v>
      </c>
      <c r="AA95" s="74" t="e">
        <f aca="true" t="shared" si="18" ref="AA95:AA108">Z95/P95*100</f>
        <v>#DIV/0!</v>
      </c>
      <c r="AB95" s="76">
        <f t="shared" si="16"/>
        <v>100000</v>
      </c>
      <c r="AC95" s="63"/>
      <c r="AD95" s="235">
        <f t="shared" si="17"/>
        <v>100000</v>
      </c>
      <c r="AE95" s="59">
        <v>100000</v>
      </c>
      <c r="AF95" s="136"/>
      <c r="AG95" s="136"/>
      <c r="AH95" s="201">
        <v>0</v>
      </c>
      <c r="AI95" s="69">
        <f t="shared" si="15"/>
        <v>0</v>
      </c>
    </row>
    <row r="96" spans="1:35" ht="19.5" customHeight="1">
      <c r="A96" s="38"/>
      <c r="B96" s="38"/>
      <c r="C96" s="39"/>
      <c r="D96" s="55" t="s">
        <v>151</v>
      </c>
      <c r="E96" s="73"/>
      <c r="F96" s="73"/>
      <c r="G96" s="73"/>
      <c r="H96" s="73"/>
      <c r="I96" s="73"/>
      <c r="J96" s="73"/>
      <c r="K96" s="73"/>
      <c r="L96" s="73"/>
      <c r="M96" s="58">
        <v>0</v>
      </c>
      <c r="N96" s="58">
        <v>0</v>
      </c>
      <c r="O96" s="58">
        <v>0</v>
      </c>
      <c r="P96" s="58">
        <v>0</v>
      </c>
      <c r="Q96" s="58">
        <v>0</v>
      </c>
      <c r="R96" s="58">
        <v>0</v>
      </c>
      <c r="S96" s="58">
        <v>0</v>
      </c>
      <c r="T96" s="58">
        <v>0</v>
      </c>
      <c r="U96" s="58"/>
      <c r="V96" s="74">
        <f>P96*(0.9)</f>
        <v>0</v>
      </c>
      <c r="W96" s="74"/>
      <c r="X96" s="58">
        <v>0</v>
      </c>
      <c r="Y96" s="58">
        <v>0</v>
      </c>
      <c r="Z96" s="59">
        <v>112856.4</v>
      </c>
      <c r="AA96" s="74" t="e">
        <f t="shared" si="18"/>
        <v>#DIV/0!</v>
      </c>
      <c r="AB96" s="76">
        <f t="shared" si="16"/>
        <v>112856.4</v>
      </c>
      <c r="AC96" s="63"/>
      <c r="AD96" s="235">
        <f t="shared" si="17"/>
        <v>112856.4</v>
      </c>
      <c r="AE96" s="59">
        <v>112856.4</v>
      </c>
      <c r="AF96" s="136"/>
      <c r="AG96" s="136"/>
      <c r="AH96" s="201">
        <v>0</v>
      </c>
      <c r="AI96" s="69">
        <f t="shared" si="15"/>
        <v>0</v>
      </c>
    </row>
    <row r="97" spans="1:35" s="177" customFormat="1" ht="22.5" customHeight="1">
      <c r="A97" s="169" t="s">
        <v>152</v>
      </c>
      <c r="B97" s="169" t="s">
        <v>37</v>
      </c>
      <c r="C97" s="170"/>
      <c r="D97" s="241" t="s">
        <v>154</v>
      </c>
      <c r="E97" s="95"/>
      <c r="F97" s="95"/>
      <c r="G97" s="95"/>
      <c r="H97" s="95"/>
      <c r="I97" s="95"/>
      <c r="J97" s="95"/>
      <c r="K97" s="95"/>
      <c r="L97" s="95"/>
      <c r="M97" s="242">
        <f>M99+M98</f>
        <v>325000</v>
      </c>
      <c r="N97" s="95"/>
      <c r="O97" s="66">
        <f aca="true" t="shared" si="19" ref="O97:O108">P97+Q97</f>
        <v>2067000</v>
      </c>
      <c r="P97" s="65">
        <f aca="true" t="shared" si="20" ref="P97:P108">Q97+R97</f>
        <v>1033500</v>
      </c>
      <c r="Q97" s="243">
        <f>Q99+Q98</f>
        <v>1033500</v>
      </c>
      <c r="R97" s="68"/>
      <c r="S97" s="68"/>
      <c r="T97" s="243">
        <f>T99+T98</f>
        <v>669069.4899999999</v>
      </c>
      <c r="U97" s="243"/>
      <c r="V97" s="243">
        <f>V99+V98</f>
        <v>1189112</v>
      </c>
      <c r="W97" s="67"/>
      <c r="X97" s="243">
        <f>X99+X98</f>
        <v>669069.4899999999</v>
      </c>
      <c r="Y97" s="69">
        <f>X97/P97*100</f>
        <v>64.73821867440735</v>
      </c>
      <c r="Z97" s="244">
        <f>Z99+Z98</f>
        <v>1189112</v>
      </c>
      <c r="AA97" s="67">
        <f t="shared" si="18"/>
        <v>115.05679729075955</v>
      </c>
      <c r="AB97" s="80">
        <f t="shared" si="16"/>
        <v>155612</v>
      </c>
      <c r="AC97" s="266" t="s">
        <v>155</v>
      </c>
      <c r="AD97" s="186">
        <f t="shared" si="17"/>
        <v>1189112</v>
      </c>
      <c r="AE97" s="245">
        <v>1189112</v>
      </c>
      <c r="AF97" s="246"/>
      <c r="AG97" s="246"/>
      <c r="AH97" s="222">
        <f>AH98+AH99</f>
        <v>75598.17</v>
      </c>
      <c r="AI97" s="75">
        <f t="shared" si="15"/>
        <v>6.357531502499344</v>
      </c>
    </row>
    <row r="98" spans="1:35" ht="19.5">
      <c r="A98" s="38"/>
      <c r="B98" s="38"/>
      <c r="C98" s="39" t="s">
        <v>156</v>
      </c>
      <c r="D98" s="55" t="s">
        <v>157</v>
      </c>
      <c r="E98" s="95"/>
      <c r="F98" s="95"/>
      <c r="G98" s="95"/>
      <c r="H98" s="95"/>
      <c r="I98" s="95"/>
      <c r="J98" s="95"/>
      <c r="K98" s="95"/>
      <c r="L98" s="95"/>
      <c r="M98" s="96">
        <v>225000</v>
      </c>
      <c r="N98" s="95"/>
      <c r="O98" s="62">
        <f t="shared" si="19"/>
        <v>1867000</v>
      </c>
      <c r="P98" s="58">
        <f t="shared" si="20"/>
        <v>933500</v>
      </c>
      <c r="Q98" s="97">
        <f>225000+378500+30000+300000</f>
        <v>933500</v>
      </c>
      <c r="R98" s="68"/>
      <c r="S98" s="68"/>
      <c r="T98" s="97">
        <f>12823.97+314438.51+1053.06+121644.29+64211.93+20568.88+13082.39+4993.7+64170</f>
        <v>616986.7299999999</v>
      </c>
      <c r="U98" s="97"/>
      <c r="V98" s="72">
        <v>1089113.5</v>
      </c>
      <c r="W98" s="50"/>
      <c r="X98" s="97">
        <f>12823.97+314438.51+1053.06+121644.29+64211.93+20568.88+13082.39+4993.7+64170</f>
        <v>616986.7299999999</v>
      </c>
      <c r="Y98" s="69">
        <f>X98/P98*100</f>
        <v>66.09391858596678</v>
      </c>
      <c r="Z98" s="59">
        <v>1089113.5</v>
      </c>
      <c r="AA98" s="50">
        <f t="shared" si="18"/>
        <v>116.66989823245848</v>
      </c>
      <c r="AB98" s="51">
        <f t="shared" si="16"/>
        <v>155613.5</v>
      </c>
      <c r="AC98" s="266"/>
      <c r="AD98" s="235">
        <f t="shared" si="17"/>
        <v>1089113.5</v>
      </c>
      <c r="AE98" s="98">
        <f>Z98</f>
        <v>1089113.5</v>
      </c>
      <c r="AF98" s="136"/>
      <c r="AG98" s="136"/>
      <c r="AH98" s="201">
        <v>64659.38</v>
      </c>
      <c r="AI98" s="69">
        <f t="shared" si="15"/>
        <v>5.93688169323032</v>
      </c>
    </row>
    <row r="99" spans="1:35" ht="19.5">
      <c r="A99" s="38"/>
      <c r="B99" s="38"/>
      <c r="C99" s="39" t="s">
        <v>156</v>
      </c>
      <c r="D99" s="55" t="s">
        <v>158</v>
      </c>
      <c r="E99" s="95"/>
      <c r="F99" s="95"/>
      <c r="G99" s="95"/>
      <c r="H99" s="95"/>
      <c r="I99" s="95"/>
      <c r="J99" s="95"/>
      <c r="K99" s="95"/>
      <c r="L99" s="95"/>
      <c r="M99" s="96">
        <v>100000</v>
      </c>
      <c r="N99" s="95"/>
      <c r="O99" s="62">
        <f t="shared" si="19"/>
        <v>200000</v>
      </c>
      <c r="P99" s="58">
        <f t="shared" si="20"/>
        <v>100000</v>
      </c>
      <c r="Q99" s="97">
        <v>100000</v>
      </c>
      <c r="R99" s="68"/>
      <c r="S99" s="68"/>
      <c r="T99" s="97">
        <f>385.27+6084.22+13129.31+12261.98+8270.72+11951.26</f>
        <v>52082.76</v>
      </c>
      <c r="U99" s="97"/>
      <c r="V99" s="72">
        <v>99998.5</v>
      </c>
      <c r="W99" s="50"/>
      <c r="X99" s="97">
        <f>385.27+6084.22+13129.31+12261.98+8270.72+11951.26</f>
        <v>52082.76</v>
      </c>
      <c r="Y99" s="69">
        <f>X99/P99*100</f>
        <v>52.08276000000001</v>
      </c>
      <c r="Z99" s="59">
        <v>99998.5</v>
      </c>
      <c r="AA99" s="50">
        <f t="shared" si="18"/>
        <v>99.9985</v>
      </c>
      <c r="AB99" s="51">
        <f t="shared" si="16"/>
        <v>-1.5</v>
      </c>
      <c r="AC99" s="266"/>
      <c r="AD99" s="235">
        <f t="shared" si="17"/>
        <v>99998.5</v>
      </c>
      <c r="AE99" s="98">
        <f>Z99</f>
        <v>99998.5</v>
      </c>
      <c r="AF99" s="136"/>
      <c r="AG99" s="136"/>
      <c r="AH99" s="202">
        <f>3627.67+2979.18+4331.94</f>
        <v>10938.79</v>
      </c>
      <c r="AI99" s="69">
        <f t="shared" si="15"/>
        <v>10.938954084311266</v>
      </c>
    </row>
    <row r="100" spans="1:35" s="2" customFormat="1" ht="18.75">
      <c r="A100" s="169" t="s">
        <v>159</v>
      </c>
      <c r="B100" s="169" t="s">
        <v>38</v>
      </c>
      <c r="C100" s="170" t="s">
        <v>156</v>
      </c>
      <c r="D100" s="85" t="s">
        <v>161</v>
      </c>
      <c r="E100" s="56" t="e">
        <f>#REF!+#REF!</f>
        <v>#REF!</v>
      </c>
      <c r="F100" s="56" t="e">
        <f>#REF!+#REF!</f>
        <v>#REF!</v>
      </c>
      <c r="G100" s="56" t="e">
        <f>#REF!+#REF!</f>
        <v>#REF!</v>
      </c>
      <c r="H100" s="56" t="e">
        <f>#REF!+#REF!</f>
        <v>#REF!</v>
      </c>
      <c r="I100" s="56" t="e">
        <f>#REF!+#REF!</f>
        <v>#REF!</v>
      </c>
      <c r="J100" s="56"/>
      <c r="K100" s="56">
        <v>3916.0000000000005</v>
      </c>
      <c r="L100" s="56"/>
      <c r="M100" s="65">
        <v>59112.8</v>
      </c>
      <c r="N100" s="56"/>
      <c r="O100" s="66">
        <f t="shared" si="19"/>
        <v>118225.6</v>
      </c>
      <c r="P100" s="65">
        <f t="shared" si="20"/>
        <v>59112.8</v>
      </c>
      <c r="Q100" s="89">
        <f>59136-23.2</f>
        <v>59112.8</v>
      </c>
      <c r="R100" s="63"/>
      <c r="S100" s="63"/>
      <c r="T100" s="89">
        <v>15318.9</v>
      </c>
      <c r="U100" s="89"/>
      <c r="V100" s="89">
        <v>208100</v>
      </c>
      <c r="W100" s="89"/>
      <c r="X100" s="89">
        <v>15318.9</v>
      </c>
      <c r="Y100" s="75">
        <f>X100/P100*100</f>
        <v>25.91469191105818</v>
      </c>
      <c r="Z100" s="197">
        <v>208100</v>
      </c>
      <c r="AA100" s="89">
        <f t="shared" si="18"/>
        <v>352.03881392862456</v>
      </c>
      <c r="AB100" s="232">
        <f t="shared" si="16"/>
        <v>148987.2</v>
      </c>
      <c r="AC100" s="63" t="s">
        <v>162</v>
      </c>
      <c r="AD100" s="186">
        <f t="shared" si="17"/>
        <v>76052.53</v>
      </c>
      <c r="AE100" s="197">
        <f>P100+11241.06+5698.67</f>
        <v>76052.53</v>
      </c>
      <c r="AF100" s="230"/>
      <c r="AG100" s="230"/>
      <c r="AH100" s="221">
        <v>32017.68</v>
      </c>
      <c r="AI100" s="75">
        <f t="shared" si="15"/>
        <v>42.09942785598323</v>
      </c>
    </row>
    <row r="101" spans="1:35" s="2" customFormat="1" ht="18.75">
      <c r="A101" s="169" t="s">
        <v>163</v>
      </c>
      <c r="B101" s="169" t="s">
        <v>39</v>
      </c>
      <c r="C101" s="170" t="s">
        <v>156</v>
      </c>
      <c r="D101" s="85" t="s">
        <v>165</v>
      </c>
      <c r="E101" s="56"/>
      <c r="F101" s="56"/>
      <c r="G101" s="56"/>
      <c r="H101" s="56"/>
      <c r="I101" s="56"/>
      <c r="J101" s="56"/>
      <c r="K101" s="56"/>
      <c r="L101" s="56"/>
      <c r="M101" s="65">
        <v>0</v>
      </c>
      <c r="N101" s="56"/>
      <c r="O101" s="66">
        <f t="shared" si="19"/>
        <v>54000</v>
      </c>
      <c r="P101" s="65">
        <f t="shared" si="20"/>
        <v>27000</v>
      </c>
      <c r="Q101" s="89">
        <v>27000</v>
      </c>
      <c r="R101" s="63"/>
      <c r="S101" s="63"/>
      <c r="T101" s="89">
        <f>8994.7+8994.7</f>
        <v>17989.4</v>
      </c>
      <c r="U101" s="89"/>
      <c r="V101" s="89">
        <v>62426.4</v>
      </c>
      <c r="W101" s="89"/>
      <c r="X101" s="89">
        <f>8994.7+8994.7</f>
        <v>17989.4</v>
      </c>
      <c r="Y101" s="75"/>
      <c r="Z101" s="197">
        <v>62426.4</v>
      </c>
      <c r="AA101" s="89">
        <f t="shared" si="18"/>
        <v>231.20888888888888</v>
      </c>
      <c r="AB101" s="232">
        <f t="shared" si="16"/>
        <v>35426.4</v>
      </c>
      <c r="AC101" s="63" t="s">
        <v>84</v>
      </c>
      <c r="AD101" s="186">
        <f t="shared" si="17"/>
        <v>107172</v>
      </c>
      <c r="AE101" s="197">
        <f>62426.4+44745.6</f>
        <v>107172</v>
      </c>
      <c r="AF101" s="230"/>
      <c r="AG101" s="230"/>
      <c r="AH101" s="222">
        <v>20125.35</v>
      </c>
      <c r="AI101" s="75">
        <f t="shared" si="15"/>
        <v>18.778552233792407</v>
      </c>
    </row>
    <row r="102" spans="1:35" ht="37.5" hidden="1">
      <c r="A102" s="36" t="s">
        <v>166</v>
      </c>
      <c r="B102" s="36" t="s">
        <v>167</v>
      </c>
      <c r="C102" s="37" t="s">
        <v>168</v>
      </c>
      <c r="D102" s="236" t="s">
        <v>169</v>
      </c>
      <c r="E102" s="73"/>
      <c r="F102" s="73"/>
      <c r="G102" s="73"/>
      <c r="H102" s="73"/>
      <c r="I102" s="73"/>
      <c r="J102" s="73"/>
      <c r="K102" s="73"/>
      <c r="L102" s="73"/>
      <c r="M102" s="82">
        <v>0</v>
      </c>
      <c r="N102" s="73"/>
      <c r="O102" s="84">
        <f t="shared" si="19"/>
        <v>10951615.36</v>
      </c>
      <c r="P102" s="82">
        <f t="shared" si="20"/>
        <v>5475807.68</v>
      </c>
      <c r="Q102" s="74">
        <v>5475807.68</v>
      </c>
      <c r="R102" s="231"/>
      <c r="S102" s="63"/>
      <c r="T102" s="97">
        <v>5475807.68</v>
      </c>
      <c r="U102" s="97"/>
      <c r="V102" s="74">
        <v>0</v>
      </c>
      <c r="W102" s="74"/>
      <c r="X102" s="97">
        <v>5475807.68</v>
      </c>
      <c r="Y102" s="69">
        <f>X102/P102*100</f>
        <v>100</v>
      </c>
      <c r="Z102" s="82">
        <f>Z103+Z104+Z105</f>
        <v>0</v>
      </c>
      <c r="AA102" s="74">
        <f t="shared" si="18"/>
        <v>0</v>
      </c>
      <c r="AB102" s="76">
        <f t="shared" si="16"/>
        <v>-5475807.68</v>
      </c>
      <c r="AC102" s="63"/>
      <c r="AD102" s="186">
        <f t="shared" si="17"/>
        <v>0</v>
      </c>
      <c r="AE102" s="82">
        <f>AE103+AE104+AE105</f>
        <v>0</v>
      </c>
      <c r="AF102" s="136"/>
      <c r="AG102" s="136"/>
      <c r="AH102" s="221"/>
      <c r="AI102" s="75" t="e">
        <f t="shared" si="15"/>
        <v>#DIV/0!</v>
      </c>
    </row>
    <row r="103" spans="1:35" ht="37.5" hidden="1">
      <c r="A103" s="36" t="s">
        <v>170</v>
      </c>
      <c r="B103" s="36" t="s">
        <v>171</v>
      </c>
      <c r="C103" s="37" t="s">
        <v>168</v>
      </c>
      <c r="D103" s="236" t="s">
        <v>172</v>
      </c>
      <c r="E103" s="73"/>
      <c r="F103" s="73"/>
      <c r="G103" s="73"/>
      <c r="H103" s="73"/>
      <c r="I103" s="73"/>
      <c r="J103" s="73"/>
      <c r="K103" s="73"/>
      <c r="L103" s="73"/>
      <c r="M103" s="82">
        <v>0</v>
      </c>
      <c r="N103" s="73"/>
      <c r="O103" s="84">
        <f t="shared" si="19"/>
        <v>340762.28</v>
      </c>
      <c r="P103" s="82">
        <f t="shared" si="20"/>
        <v>170381.14</v>
      </c>
      <c r="Q103" s="74">
        <f>550000-379618.86</f>
        <v>170381.14</v>
      </c>
      <c r="R103" s="231"/>
      <c r="S103" s="63"/>
      <c r="T103" s="97">
        <v>170381.14</v>
      </c>
      <c r="U103" s="97"/>
      <c r="V103" s="74">
        <v>0</v>
      </c>
      <c r="W103" s="74"/>
      <c r="X103" s="97">
        <v>170381.14</v>
      </c>
      <c r="Y103" s="69">
        <f>X103/P103*100</f>
        <v>100</v>
      </c>
      <c r="Z103" s="82">
        <f>Z104+Z105+Z106</f>
        <v>0</v>
      </c>
      <c r="AA103" s="74">
        <f t="shared" si="18"/>
        <v>0</v>
      </c>
      <c r="AB103" s="76">
        <f t="shared" si="16"/>
        <v>-170381.14</v>
      </c>
      <c r="AC103" s="63"/>
      <c r="AD103" s="186">
        <f t="shared" si="17"/>
        <v>0</v>
      </c>
      <c r="AE103" s="82">
        <f>AE104+AE105+AE106</f>
        <v>0</v>
      </c>
      <c r="AF103" s="136"/>
      <c r="AG103" s="136"/>
      <c r="AH103" s="221"/>
      <c r="AI103" s="75" t="e">
        <f t="shared" si="15"/>
        <v>#DIV/0!</v>
      </c>
    </row>
    <row r="104" spans="1:35" ht="32.25" customHeight="1" hidden="1">
      <c r="A104" s="36" t="s">
        <v>173</v>
      </c>
      <c r="B104" s="36" t="s">
        <v>174</v>
      </c>
      <c r="C104" s="37" t="s">
        <v>168</v>
      </c>
      <c r="D104" s="236" t="s">
        <v>175</v>
      </c>
      <c r="E104" s="73"/>
      <c r="F104" s="73"/>
      <c r="G104" s="73"/>
      <c r="H104" s="73"/>
      <c r="I104" s="73"/>
      <c r="J104" s="73"/>
      <c r="K104" s="73"/>
      <c r="L104" s="73"/>
      <c r="M104" s="82">
        <v>0</v>
      </c>
      <c r="N104" s="73"/>
      <c r="O104" s="84">
        <f t="shared" si="19"/>
        <v>610364</v>
      </c>
      <c r="P104" s="82">
        <f t="shared" si="20"/>
        <v>305182</v>
      </c>
      <c r="Q104" s="74">
        <v>305182</v>
      </c>
      <c r="R104" s="231"/>
      <c r="S104" s="63"/>
      <c r="T104" s="97"/>
      <c r="U104" s="97"/>
      <c r="V104" s="74">
        <v>0</v>
      </c>
      <c r="W104" s="74"/>
      <c r="X104" s="97"/>
      <c r="Y104" s="69"/>
      <c r="Z104" s="82">
        <f>Z105+Z106+Z107</f>
        <v>0</v>
      </c>
      <c r="AA104" s="74">
        <f t="shared" si="18"/>
        <v>0</v>
      </c>
      <c r="AB104" s="76">
        <f t="shared" si="16"/>
        <v>-305182</v>
      </c>
      <c r="AC104" s="63"/>
      <c r="AD104" s="186">
        <f t="shared" si="17"/>
        <v>0</v>
      </c>
      <c r="AE104" s="82">
        <f>AE105+AE106+AE107</f>
        <v>0</v>
      </c>
      <c r="AF104" s="136"/>
      <c r="AG104" s="136"/>
      <c r="AH104" s="221"/>
      <c r="AI104" s="75" t="e">
        <f t="shared" si="15"/>
        <v>#DIV/0!</v>
      </c>
    </row>
    <row r="105" spans="1:35" ht="51.75" customHeight="1" hidden="1">
      <c r="A105" s="36" t="s">
        <v>176</v>
      </c>
      <c r="B105" s="36" t="s">
        <v>177</v>
      </c>
      <c r="C105" s="37" t="s">
        <v>178</v>
      </c>
      <c r="D105" s="236" t="s">
        <v>179</v>
      </c>
      <c r="E105" s="73"/>
      <c r="F105" s="73"/>
      <c r="G105" s="73"/>
      <c r="H105" s="73"/>
      <c r="I105" s="73"/>
      <c r="J105" s="73"/>
      <c r="K105" s="73"/>
      <c r="L105" s="73"/>
      <c r="M105" s="82">
        <f>M106+M107+M108</f>
        <v>0</v>
      </c>
      <c r="N105" s="73"/>
      <c r="O105" s="84">
        <f t="shared" si="19"/>
        <v>20012024</v>
      </c>
      <c r="P105" s="82">
        <f t="shared" si="20"/>
        <v>10006012</v>
      </c>
      <c r="Q105" s="74">
        <f>Q106+Q107+Q108</f>
        <v>10006012</v>
      </c>
      <c r="R105" s="99"/>
      <c r="S105" s="63"/>
      <c r="T105" s="74">
        <f>T106+T107+T108</f>
        <v>7554942</v>
      </c>
      <c r="U105" s="74"/>
      <c r="V105" s="74">
        <v>0</v>
      </c>
      <c r="W105" s="74"/>
      <c r="X105" s="74">
        <f>X106+X107+X108</f>
        <v>7554942</v>
      </c>
      <c r="Y105" s="193">
        <f>X105/P105*100</f>
        <v>75.50402697898024</v>
      </c>
      <c r="Z105" s="82">
        <f>Z106+Z107+Z108</f>
        <v>0</v>
      </c>
      <c r="AA105" s="74">
        <f t="shared" si="18"/>
        <v>0</v>
      </c>
      <c r="AB105" s="76">
        <f t="shared" si="16"/>
        <v>-10006012</v>
      </c>
      <c r="AC105" s="63"/>
      <c r="AD105" s="186">
        <f t="shared" si="17"/>
        <v>0</v>
      </c>
      <c r="AE105" s="82">
        <f>AE106+AE107+AE108</f>
        <v>0</v>
      </c>
      <c r="AF105" s="136"/>
      <c r="AG105" s="136"/>
      <c r="AH105" s="221"/>
      <c r="AI105" s="75" t="e">
        <f t="shared" si="15"/>
        <v>#DIV/0!</v>
      </c>
    </row>
    <row r="106" spans="1:35" ht="24" customHeight="1" hidden="1">
      <c r="A106" s="36"/>
      <c r="B106" s="36"/>
      <c r="C106" s="39"/>
      <c r="D106" s="55" t="s">
        <v>180</v>
      </c>
      <c r="E106" s="73"/>
      <c r="F106" s="73"/>
      <c r="G106" s="73"/>
      <c r="H106" s="73"/>
      <c r="I106" s="73"/>
      <c r="J106" s="73"/>
      <c r="K106" s="73"/>
      <c r="L106" s="73"/>
      <c r="M106" s="58">
        <v>0</v>
      </c>
      <c r="N106" s="73"/>
      <c r="O106" s="62">
        <f t="shared" si="19"/>
        <v>4000000</v>
      </c>
      <c r="P106" s="58">
        <f t="shared" si="20"/>
        <v>2000000</v>
      </c>
      <c r="Q106" s="67">
        <f>1500000+500000</f>
        <v>2000000</v>
      </c>
      <c r="R106" s="99"/>
      <c r="S106" s="63"/>
      <c r="T106" s="97">
        <f>185695.2+283914.6+257099.4+99340.8+62907.6+129854.4+71424+72591.6+236332.8+190290+101258.4+5511.6+10389.6</f>
        <v>1706610.0000000002</v>
      </c>
      <c r="U106" s="97"/>
      <c r="V106" s="74">
        <v>0</v>
      </c>
      <c r="W106" s="74"/>
      <c r="X106" s="97">
        <f>185695.2+283914.6+257099.4+99340.8+62907.6+129854.4+71424+72591.6+236332.8+190290+101258.4+5511.6+10389.6</f>
        <v>1706610.0000000002</v>
      </c>
      <c r="Y106" s="69">
        <f>X106/P106*100</f>
        <v>85.33050000000001</v>
      </c>
      <c r="Z106" s="59">
        <v>0</v>
      </c>
      <c r="AA106" s="74">
        <f t="shared" si="18"/>
        <v>0</v>
      </c>
      <c r="AB106" s="76">
        <f t="shared" si="16"/>
        <v>-2000000</v>
      </c>
      <c r="AC106" s="63"/>
      <c r="AD106" s="186">
        <f t="shared" si="17"/>
        <v>0</v>
      </c>
      <c r="AE106" s="197"/>
      <c r="AF106" s="136"/>
      <c r="AG106" s="136"/>
      <c r="AH106" s="221"/>
      <c r="AI106" s="75" t="e">
        <f t="shared" si="15"/>
        <v>#DIV/0!</v>
      </c>
    </row>
    <row r="107" spans="1:35" ht="18.75" hidden="1">
      <c r="A107" s="36"/>
      <c r="B107" s="36"/>
      <c r="C107" s="39"/>
      <c r="D107" s="55" t="s">
        <v>181</v>
      </c>
      <c r="E107" s="73"/>
      <c r="F107" s="73"/>
      <c r="G107" s="73"/>
      <c r="H107" s="73"/>
      <c r="I107" s="73"/>
      <c r="J107" s="73"/>
      <c r="K107" s="73"/>
      <c r="L107" s="73"/>
      <c r="M107" s="58">
        <v>0</v>
      </c>
      <c r="N107" s="73"/>
      <c r="O107" s="62">
        <f t="shared" si="19"/>
        <v>9012024</v>
      </c>
      <c r="P107" s="58">
        <f t="shared" si="20"/>
        <v>4506012</v>
      </c>
      <c r="Q107" s="67">
        <f>5000000-500000+6012</f>
        <v>4506012</v>
      </c>
      <c r="R107" s="99"/>
      <c r="S107" s="63"/>
      <c r="T107" s="97">
        <f>309091.2+295428.55+104848.25+410089.8+99821.4+824466.6+79300.2-85899.6+234306+338492.4+314325+469128-30844.2+68012.4+172592.4+166410+6012</f>
        <v>3775580.3999999994</v>
      </c>
      <c r="U107" s="97"/>
      <c r="V107" s="74">
        <v>0</v>
      </c>
      <c r="W107" s="74"/>
      <c r="X107" s="97">
        <f>309091.2+295428.55+104848.25+410089.8+99821.4+824466.6+79300.2-85899.6+234306+338492.4+314325+469128-30844.2+68012.4+172592.4+166410+6012</f>
        <v>3775580.3999999994</v>
      </c>
      <c r="Y107" s="69">
        <f>X107/P107*100</f>
        <v>83.78984343583637</v>
      </c>
      <c r="Z107" s="59">
        <v>0</v>
      </c>
      <c r="AA107" s="74">
        <f t="shared" si="18"/>
        <v>0</v>
      </c>
      <c r="AB107" s="76">
        <f t="shared" si="16"/>
        <v>-4506012</v>
      </c>
      <c r="AC107" s="63"/>
      <c r="AD107" s="186">
        <f t="shared" si="17"/>
        <v>0</v>
      </c>
      <c r="AE107" s="197"/>
      <c r="AF107" s="136"/>
      <c r="AG107" s="136"/>
      <c r="AH107" s="221"/>
      <c r="AI107" s="75" t="e">
        <f t="shared" si="15"/>
        <v>#DIV/0!</v>
      </c>
    </row>
    <row r="108" spans="1:35" ht="21" customHeight="1" hidden="1">
      <c r="A108" s="36"/>
      <c r="B108" s="36"/>
      <c r="C108" s="39"/>
      <c r="D108" s="55" t="s">
        <v>182</v>
      </c>
      <c r="E108" s="73"/>
      <c r="F108" s="73"/>
      <c r="G108" s="73"/>
      <c r="H108" s="73"/>
      <c r="I108" s="73"/>
      <c r="J108" s="73"/>
      <c r="K108" s="73"/>
      <c r="L108" s="73"/>
      <c r="M108" s="58">
        <v>0</v>
      </c>
      <c r="N108" s="73"/>
      <c r="O108" s="62">
        <f t="shared" si="19"/>
        <v>7000000</v>
      </c>
      <c r="P108" s="58">
        <f t="shared" si="20"/>
        <v>3500000</v>
      </c>
      <c r="Q108" s="67">
        <v>3500000</v>
      </c>
      <c r="R108" s="99"/>
      <c r="S108" s="63"/>
      <c r="T108" s="97">
        <v>2072751.6</v>
      </c>
      <c r="U108" s="97"/>
      <c r="V108" s="74">
        <v>0</v>
      </c>
      <c r="W108" s="74"/>
      <c r="X108" s="97">
        <v>2072751.6</v>
      </c>
      <c r="Y108" s="69">
        <f>X108/P108*100</f>
        <v>59.221474285714294</v>
      </c>
      <c r="Z108" s="59">
        <v>0</v>
      </c>
      <c r="AA108" s="74">
        <f t="shared" si="18"/>
        <v>0</v>
      </c>
      <c r="AB108" s="76">
        <f t="shared" si="16"/>
        <v>-3500000</v>
      </c>
      <c r="AC108" s="63"/>
      <c r="AD108" s="186">
        <f t="shared" si="17"/>
        <v>0</v>
      </c>
      <c r="AE108" s="197"/>
      <c r="AF108" s="136"/>
      <c r="AG108" s="136"/>
      <c r="AH108" s="221"/>
      <c r="AI108" s="75" t="e">
        <f t="shared" si="15"/>
        <v>#DIV/0!</v>
      </c>
    </row>
    <row r="109" spans="1:35" ht="21" customHeight="1">
      <c r="A109" s="36"/>
      <c r="B109" s="36"/>
      <c r="C109" s="39"/>
      <c r="D109" s="55" t="s">
        <v>238</v>
      </c>
      <c r="E109" s="73"/>
      <c r="F109" s="73"/>
      <c r="G109" s="73"/>
      <c r="H109" s="73"/>
      <c r="I109" s="73"/>
      <c r="J109" s="73"/>
      <c r="K109" s="73"/>
      <c r="L109" s="73"/>
      <c r="M109" s="58"/>
      <c r="N109" s="73"/>
      <c r="O109" s="62"/>
      <c r="P109" s="58"/>
      <c r="Q109" s="67"/>
      <c r="R109" s="99"/>
      <c r="S109" s="63"/>
      <c r="T109" s="97"/>
      <c r="U109" s="97"/>
      <c r="V109" s="74"/>
      <c r="W109" s="74"/>
      <c r="X109" s="97"/>
      <c r="Y109" s="69"/>
      <c r="Z109" s="59"/>
      <c r="AA109" s="74"/>
      <c r="AB109" s="76"/>
      <c r="AC109" s="63"/>
      <c r="AD109" s="186">
        <f>AE109</f>
        <v>11806.56</v>
      </c>
      <c r="AE109" s="197">
        <v>11806.56</v>
      </c>
      <c r="AF109" s="136"/>
      <c r="AG109" s="136"/>
      <c r="AH109" s="222">
        <v>0</v>
      </c>
      <c r="AI109" s="75">
        <f t="shared" si="15"/>
        <v>0</v>
      </c>
    </row>
    <row r="110" spans="1:35" ht="102" customHeight="1">
      <c r="A110" s="36"/>
      <c r="B110" s="38" t="s">
        <v>225</v>
      </c>
      <c r="C110" s="39"/>
      <c r="D110" s="248" t="s">
        <v>239</v>
      </c>
      <c r="E110" s="42"/>
      <c r="F110" s="42"/>
      <c r="G110" s="42"/>
      <c r="H110" s="42"/>
      <c r="I110" s="42"/>
      <c r="J110" s="42"/>
      <c r="K110" s="42"/>
      <c r="L110" s="42"/>
      <c r="M110" s="171"/>
      <c r="N110" s="42"/>
      <c r="O110" s="172"/>
      <c r="P110" s="171"/>
      <c r="Q110" s="173"/>
      <c r="R110" s="174"/>
      <c r="S110" s="174"/>
      <c r="T110" s="173"/>
      <c r="U110" s="173"/>
      <c r="V110" s="173"/>
      <c r="W110" s="173"/>
      <c r="X110" s="173"/>
      <c r="Y110" s="175"/>
      <c r="Z110" s="125"/>
      <c r="AA110" s="173"/>
      <c r="AB110" s="176"/>
      <c r="AC110" s="174"/>
      <c r="AD110" s="215">
        <f>AE110</f>
        <v>666836.4</v>
      </c>
      <c r="AE110" s="125">
        <v>666836.4</v>
      </c>
      <c r="AF110" s="22"/>
      <c r="AG110" s="22"/>
      <c r="AH110" s="222">
        <v>245836.44</v>
      </c>
      <c r="AI110" s="108">
        <f t="shared" si="15"/>
        <v>36.866079896058466</v>
      </c>
    </row>
    <row r="111" spans="1:35" ht="21" customHeight="1">
      <c r="A111" s="36"/>
      <c r="B111" s="23" t="s">
        <v>30</v>
      </c>
      <c r="C111" s="24">
        <v>1</v>
      </c>
      <c r="D111" s="25" t="s">
        <v>183</v>
      </c>
      <c r="E111" s="26"/>
      <c r="F111" s="26"/>
      <c r="G111" s="27"/>
      <c r="H111" s="26"/>
      <c r="I111" s="26"/>
      <c r="J111" s="28"/>
      <c r="K111" s="28"/>
      <c r="L111" s="28"/>
      <c r="M111" s="29">
        <f>M112</f>
        <v>28400</v>
      </c>
      <c r="N111" s="100"/>
      <c r="O111" s="101">
        <f>P111+Q111</f>
        <v>56800</v>
      </c>
      <c r="P111" s="30">
        <f>Q111+R111</f>
        <v>28400</v>
      </c>
      <c r="Q111" s="31">
        <f>Q112</f>
        <v>28400</v>
      </c>
      <c r="R111" s="31">
        <f>R112</f>
        <v>0</v>
      </c>
      <c r="S111" s="31">
        <f>S112</f>
        <v>0</v>
      </c>
      <c r="T111" s="31">
        <f>T112</f>
        <v>0</v>
      </c>
      <c r="U111" s="31"/>
      <c r="V111" s="31">
        <f>P111*(0.9)</f>
        <v>25560</v>
      </c>
      <c r="W111" s="31"/>
      <c r="X111" s="31">
        <f>X112</f>
        <v>0</v>
      </c>
      <c r="Y111" s="33">
        <f>X111/P111*100</f>
        <v>0</v>
      </c>
      <c r="Z111" s="30">
        <v>50000</v>
      </c>
      <c r="AA111" s="29">
        <f>Z111/P111*100</f>
        <v>176.05633802816902</v>
      </c>
      <c r="AB111" s="252"/>
      <c r="AC111" s="22" t="s">
        <v>184</v>
      </c>
      <c r="AD111" s="154">
        <f>AE111+AF111</f>
        <v>30700</v>
      </c>
      <c r="AE111" s="102">
        <f>AE112</f>
        <v>30700</v>
      </c>
      <c r="AF111" s="35"/>
      <c r="AG111" s="35"/>
      <c r="AH111" s="218">
        <v>0</v>
      </c>
      <c r="AI111" s="33">
        <f t="shared" si="15"/>
        <v>0</v>
      </c>
    </row>
    <row r="112" spans="1:35" ht="21" customHeight="1">
      <c r="A112" s="36"/>
      <c r="B112" s="179" t="s">
        <v>107</v>
      </c>
      <c r="C112" s="103"/>
      <c r="D112" s="168" t="s">
        <v>185</v>
      </c>
      <c r="E112" s="12"/>
      <c r="F112" s="12"/>
      <c r="G112" s="13"/>
      <c r="H112" s="12"/>
      <c r="I112" s="12"/>
      <c r="J112" s="104"/>
      <c r="K112" s="104"/>
      <c r="L112" s="104"/>
      <c r="M112" s="105">
        <v>28400</v>
      </c>
      <c r="N112" s="104"/>
      <c r="O112" s="106">
        <f>P112+Q112</f>
        <v>56800</v>
      </c>
      <c r="P112" s="107">
        <f>Q112+R112</f>
        <v>28400</v>
      </c>
      <c r="Q112" s="74">
        <v>28400</v>
      </c>
      <c r="R112" s="74">
        <v>0</v>
      </c>
      <c r="S112" s="74">
        <v>0</v>
      </c>
      <c r="T112" s="74">
        <v>0</v>
      </c>
      <c r="U112" s="74"/>
      <c r="V112" s="74">
        <f>P112*(0.9)</f>
        <v>25560</v>
      </c>
      <c r="W112" s="74"/>
      <c r="X112" s="74">
        <v>0</v>
      </c>
      <c r="Y112" s="108">
        <f>X112/P112*100</f>
        <v>0</v>
      </c>
      <c r="Z112" s="109">
        <v>50000</v>
      </c>
      <c r="AA112" s="74">
        <f>Z112/P112*100</f>
        <v>176.05633802816902</v>
      </c>
      <c r="AB112" s="252"/>
      <c r="AC112" s="22"/>
      <c r="AD112" s="195">
        <f>AE112+AF112</f>
        <v>30700</v>
      </c>
      <c r="AE112" s="49">
        <v>30700</v>
      </c>
      <c r="AF112" s="81"/>
      <c r="AG112" s="81"/>
      <c r="AH112" s="219">
        <v>0</v>
      </c>
      <c r="AI112" s="48">
        <f t="shared" si="15"/>
        <v>0</v>
      </c>
    </row>
    <row r="113" spans="1:35" ht="64.5" customHeight="1">
      <c r="A113" s="36"/>
      <c r="B113" s="110" t="s">
        <v>31</v>
      </c>
      <c r="C113" s="111"/>
      <c r="D113" s="112" t="s">
        <v>147</v>
      </c>
      <c r="E113" s="113"/>
      <c r="F113" s="113"/>
      <c r="G113" s="113"/>
      <c r="H113" s="113"/>
      <c r="I113" s="113"/>
      <c r="J113" s="113"/>
      <c r="K113" s="113"/>
      <c r="L113" s="113"/>
      <c r="M113" s="114"/>
      <c r="N113" s="114"/>
      <c r="O113" s="114"/>
      <c r="P113" s="114"/>
      <c r="Q113" s="114"/>
      <c r="R113" s="114"/>
      <c r="S113" s="114"/>
      <c r="T113" s="114"/>
      <c r="U113" s="114"/>
      <c r="V113" s="31"/>
      <c r="W113" s="31"/>
      <c r="X113" s="114"/>
      <c r="Y113" s="114"/>
      <c r="Z113" s="102"/>
      <c r="AA113" s="31"/>
      <c r="AB113" s="34"/>
      <c r="AC113" s="137"/>
      <c r="AD113" s="154">
        <f>AE113+AF113</f>
        <v>777789.24</v>
      </c>
      <c r="AE113" s="102">
        <f>AE115</f>
        <v>777789.24</v>
      </c>
      <c r="AF113" s="35"/>
      <c r="AG113" s="35"/>
      <c r="AH113" s="188">
        <f>AH115</f>
        <v>82443.06000000001</v>
      </c>
      <c r="AI113" s="33">
        <f>AH113/AD113*100</f>
        <v>10.599665791210999</v>
      </c>
    </row>
    <row r="114" spans="1:35" ht="20.25" customHeight="1">
      <c r="A114" s="36" t="s">
        <v>148</v>
      </c>
      <c r="B114" s="38" t="s">
        <v>134</v>
      </c>
      <c r="C114" s="37"/>
      <c r="D114" s="85" t="s">
        <v>149</v>
      </c>
      <c r="E114" s="73"/>
      <c r="F114" s="73"/>
      <c r="G114" s="73"/>
      <c r="H114" s="73"/>
      <c r="I114" s="73"/>
      <c r="J114" s="73"/>
      <c r="K114" s="73"/>
      <c r="L114" s="73"/>
      <c r="M114" s="185">
        <f>M115</f>
        <v>135989</v>
      </c>
      <c r="N114" s="185"/>
      <c r="O114" s="84">
        <f>P114+Q114</f>
        <v>271978</v>
      </c>
      <c r="P114" s="82">
        <f>Q114+R114</f>
        <v>135989</v>
      </c>
      <c r="Q114" s="74">
        <f>Q115</f>
        <v>135989</v>
      </c>
      <c r="R114" s="136"/>
      <c r="S114" s="136"/>
      <c r="T114" s="74">
        <f>T115</f>
        <v>128500.84000000001</v>
      </c>
      <c r="U114" s="74"/>
      <c r="V114" s="74">
        <f>V115</f>
        <v>1147180.09</v>
      </c>
      <c r="W114" s="74">
        <v>402800</v>
      </c>
      <c r="X114" s="74">
        <f>X115</f>
        <v>128500.84000000001</v>
      </c>
      <c r="Y114" s="75">
        <f>X114/P114*100</f>
        <v>94.4935546257418</v>
      </c>
      <c r="Z114" s="82">
        <f>Z115</f>
        <v>1147180.09</v>
      </c>
      <c r="AA114" s="74">
        <f>Z114/P114*100</f>
        <v>843.5830030370104</v>
      </c>
      <c r="AB114" s="76">
        <f>Z114-P114</f>
        <v>1011191.0900000001</v>
      </c>
      <c r="AC114" s="88"/>
      <c r="AD114" s="186">
        <f>AE114+AF114</f>
        <v>777789.24</v>
      </c>
      <c r="AE114" s="187">
        <f>AE115</f>
        <v>777789.24</v>
      </c>
      <c r="AF114" s="136"/>
      <c r="AG114" s="22"/>
      <c r="AH114" s="189">
        <f>AH115</f>
        <v>82443.06000000001</v>
      </c>
      <c r="AI114" s="192">
        <f>AH114/AD114*100</f>
        <v>10.599665791210999</v>
      </c>
    </row>
    <row r="115" spans="1:37" ht="34.5" customHeight="1">
      <c r="A115" s="36"/>
      <c r="B115" s="36"/>
      <c r="C115" s="115"/>
      <c r="D115" s="77" t="s">
        <v>88</v>
      </c>
      <c r="E115" s="56"/>
      <c r="F115" s="56"/>
      <c r="G115" s="56"/>
      <c r="H115" s="56"/>
      <c r="I115" s="56"/>
      <c r="J115" s="56"/>
      <c r="K115" s="56"/>
      <c r="L115" s="56"/>
      <c r="M115" s="67">
        <f>135989</f>
        <v>135989</v>
      </c>
      <c r="N115" s="83"/>
      <c r="O115" s="62">
        <f>P115+Q115</f>
        <v>271978</v>
      </c>
      <c r="P115" s="58">
        <f>Q115+R115</f>
        <v>135989</v>
      </c>
      <c r="Q115" s="46">
        <f>135989</f>
        <v>135989</v>
      </c>
      <c r="R115" s="78"/>
      <c r="S115" s="78"/>
      <c r="T115" s="46">
        <f>6438.31+13187.76+54909+12393.8+41571.97</f>
        <v>128500.84000000001</v>
      </c>
      <c r="U115" s="46"/>
      <c r="V115" s="50">
        <v>1147180.09</v>
      </c>
      <c r="W115" s="50">
        <f>W114</f>
        <v>402800</v>
      </c>
      <c r="X115" s="46">
        <f>6438.31+13187.76+54909+12393.8+41571.97</f>
        <v>128500.84000000001</v>
      </c>
      <c r="Y115" s="64">
        <f>X115/P115*100</f>
        <v>94.4935546257418</v>
      </c>
      <c r="Z115" s="116">
        <v>1147180.09</v>
      </c>
      <c r="AA115" s="50">
        <f>Z115/P115*100</f>
        <v>843.5830030370104</v>
      </c>
      <c r="AB115" s="51">
        <f>Z115-P115</f>
        <v>1011191.0900000001</v>
      </c>
      <c r="AC115" s="78" t="s">
        <v>89</v>
      </c>
      <c r="AD115" s="195">
        <f>AE115+AF115</f>
        <v>777789.24</v>
      </c>
      <c r="AE115" s="59">
        <v>777789.24</v>
      </c>
      <c r="AF115" s="22"/>
      <c r="AG115" s="22"/>
      <c r="AH115" s="199">
        <f>11291.3+9563.01+9331.63+11197.95+10805.05+9724.53+8211.82+12317.77</f>
        <v>82443.06000000001</v>
      </c>
      <c r="AI115" s="200">
        <f>AH115/AD115*100</f>
        <v>10.599665791210999</v>
      </c>
      <c r="AK115" s="93"/>
    </row>
    <row r="116" spans="1:35" ht="0.75" customHeight="1" hidden="1">
      <c r="A116" s="36"/>
      <c r="B116" s="36"/>
      <c r="C116" s="115"/>
      <c r="D116" s="77"/>
      <c r="E116" s="56"/>
      <c r="F116" s="56"/>
      <c r="G116" s="56"/>
      <c r="H116" s="56"/>
      <c r="I116" s="56"/>
      <c r="J116" s="56"/>
      <c r="K116" s="56"/>
      <c r="L116" s="56"/>
      <c r="M116" s="67"/>
      <c r="N116" s="83"/>
      <c r="O116" s="62"/>
      <c r="P116" s="58"/>
      <c r="Q116" s="46"/>
      <c r="R116" s="78"/>
      <c r="S116" s="78"/>
      <c r="T116" s="46"/>
      <c r="U116" s="46"/>
      <c r="V116" s="50"/>
      <c r="W116" s="50"/>
      <c r="X116" s="46"/>
      <c r="Y116" s="64"/>
      <c r="Z116" s="116"/>
      <c r="AA116" s="50"/>
      <c r="AB116" s="51"/>
      <c r="AC116" s="78"/>
      <c r="AD116" s="195"/>
      <c r="AE116" s="59"/>
      <c r="AF116" s="22"/>
      <c r="AG116" s="22"/>
      <c r="AH116" s="203"/>
      <c r="AI116" s="200"/>
    </row>
    <row r="117" spans="1:35" ht="36.75" customHeight="1">
      <c r="A117" s="36"/>
      <c r="B117" s="110" t="s">
        <v>168</v>
      </c>
      <c r="C117" s="204"/>
      <c r="D117" s="112" t="s">
        <v>222</v>
      </c>
      <c r="E117" s="205"/>
      <c r="F117" s="205"/>
      <c r="G117" s="205"/>
      <c r="H117" s="205"/>
      <c r="I117" s="205"/>
      <c r="J117" s="205"/>
      <c r="K117" s="205"/>
      <c r="L117" s="205"/>
      <c r="M117" s="206"/>
      <c r="N117" s="207"/>
      <c r="O117" s="208"/>
      <c r="P117" s="114"/>
      <c r="Q117" s="209"/>
      <c r="R117" s="210"/>
      <c r="S117" s="210"/>
      <c r="T117" s="209"/>
      <c r="U117" s="209"/>
      <c r="V117" s="211"/>
      <c r="W117" s="211"/>
      <c r="X117" s="209"/>
      <c r="Y117" s="212"/>
      <c r="Z117" s="213"/>
      <c r="AA117" s="211"/>
      <c r="AB117" s="214"/>
      <c r="AC117" s="210"/>
      <c r="AD117" s="154">
        <f>AE117</f>
        <v>4500000</v>
      </c>
      <c r="AE117" s="102">
        <f>AE118</f>
        <v>4500000</v>
      </c>
      <c r="AF117" s="35"/>
      <c r="AG117" s="35"/>
      <c r="AH117" s="217">
        <f>AH118</f>
        <v>0</v>
      </c>
      <c r="AI117" s="33">
        <f>AH117/AD117*100</f>
        <v>0</v>
      </c>
    </row>
    <row r="118" spans="1:35" ht="36.75" customHeight="1">
      <c r="A118" s="36"/>
      <c r="B118" s="38" t="s">
        <v>223</v>
      </c>
      <c r="C118" s="115"/>
      <c r="D118" s="77" t="s">
        <v>224</v>
      </c>
      <c r="E118" s="56"/>
      <c r="F118" s="56"/>
      <c r="G118" s="56"/>
      <c r="H118" s="56"/>
      <c r="I118" s="56"/>
      <c r="J118" s="56"/>
      <c r="K118" s="56"/>
      <c r="L118" s="56"/>
      <c r="M118" s="67"/>
      <c r="N118" s="83"/>
      <c r="O118" s="62"/>
      <c r="P118" s="58"/>
      <c r="Q118" s="46"/>
      <c r="R118" s="78"/>
      <c r="S118" s="78"/>
      <c r="T118" s="46"/>
      <c r="U118" s="46"/>
      <c r="V118" s="50"/>
      <c r="W118" s="50"/>
      <c r="X118" s="46"/>
      <c r="Y118" s="64"/>
      <c r="Z118" s="116"/>
      <c r="AA118" s="50"/>
      <c r="AB118" s="51"/>
      <c r="AC118" s="78"/>
      <c r="AD118" s="195">
        <f>AE118</f>
        <v>4500000</v>
      </c>
      <c r="AE118" s="59">
        <v>4500000</v>
      </c>
      <c r="AF118" s="22"/>
      <c r="AG118" s="22"/>
      <c r="AH118" s="247">
        <v>0</v>
      </c>
      <c r="AI118" s="48">
        <f>AH118/AD118*100</f>
        <v>0</v>
      </c>
    </row>
    <row r="119" spans="1:35" ht="18" customHeight="1">
      <c r="A119" s="117"/>
      <c r="B119" s="117"/>
      <c r="C119" s="118"/>
      <c r="D119" s="119" t="s">
        <v>110</v>
      </c>
      <c r="E119" s="117"/>
      <c r="F119" s="117"/>
      <c r="G119" s="117"/>
      <c r="H119" s="117"/>
      <c r="I119" s="120"/>
      <c r="J119" s="120"/>
      <c r="K119" s="120"/>
      <c r="L119" s="120"/>
      <c r="M119" s="84" t="e">
        <f>M111+M53</f>
        <v>#REF!</v>
      </c>
      <c r="N119" s="84" t="e">
        <f>N111+N53</f>
        <v>#VALUE!</v>
      </c>
      <c r="O119" s="84" t="e">
        <f>O111+O53</f>
        <v>#REF!</v>
      </c>
      <c r="P119" s="82" t="e">
        <f>P111+P53</f>
        <v>#REF!</v>
      </c>
      <c r="Q119" s="84"/>
      <c r="R119" s="84"/>
      <c r="S119" s="84"/>
      <c r="T119" s="84"/>
      <c r="U119" s="84"/>
      <c r="V119" s="84"/>
      <c r="W119" s="74"/>
      <c r="X119" s="84"/>
      <c r="Y119" s="84"/>
      <c r="Z119" s="82" t="e">
        <f>Z111+Z53</f>
        <v>#REF!</v>
      </c>
      <c r="AA119" s="84" t="e">
        <f>AA111+AA53</f>
        <v>#REF!</v>
      </c>
      <c r="AB119" s="84" t="e">
        <f>AB111+AB53</f>
        <v>#REF!</v>
      </c>
      <c r="AC119" s="84"/>
      <c r="AD119" s="148">
        <f>AD117+AD113+AD111+AD53+AD51+AD8</f>
        <v>85503018.362149</v>
      </c>
      <c r="AE119" s="148">
        <f>AE117+AE113+AE111+AE53+AE51+AE8</f>
        <v>65420108.36214901</v>
      </c>
      <c r="AF119" s="148">
        <f>AF117+AF113+AF111+AF53+AF51+AF8</f>
        <v>20082910</v>
      </c>
      <c r="AG119" s="148">
        <f>AG117+AG113+AG111+AG53+AG51+AG8</f>
        <v>20082910</v>
      </c>
      <c r="AH119" s="148">
        <f>AH117+AH113+AH111+AH53+AH51+AH8</f>
        <v>30087699.49000001</v>
      </c>
      <c r="AI119" s="192">
        <f>AH119/AD119*100</f>
        <v>35.18904954040712</v>
      </c>
    </row>
    <row r="120" spans="16:23" ht="12.75">
      <c r="P120" s="94"/>
      <c r="R120" s="135"/>
      <c r="S120" s="135"/>
      <c r="V120" s="93"/>
      <c r="W120" s="93"/>
    </row>
    <row r="121" spans="1:30" ht="12.75">
      <c r="A121" s="121"/>
      <c r="B121" s="123"/>
      <c r="C121" s="122"/>
      <c r="P121" s="94"/>
      <c r="R121" s="5"/>
      <c r="S121" s="5"/>
      <c r="T121" s="5"/>
      <c r="U121" s="5"/>
      <c r="V121" s="5"/>
      <c r="W121" s="5"/>
      <c r="X121" s="5"/>
      <c r="AD121" s="178"/>
    </row>
    <row r="122" spans="4:33" s="180" customFormat="1" ht="18.75">
      <c r="D122" s="181"/>
      <c r="E122" s="181"/>
      <c r="F122" s="181"/>
      <c r="G122" s="181"/>
      <c r="H122" s="181"/>
      <c r="I122" s="181"/>
      <c r="J122" s="181"/>
      <c r="K122" s="181"/>
      <c r="L122" s="181"/>
      <c r="M122" s="181"/>
      <c r="N122" s="181"/>
      <c r="O122" s="181"/>
      <c r="P122" s="182"/>
      <c r="Q122" s="181"/>
      <c r="R122" s="183"/>
      <c r="S122" s="183"/>
      <c r="T122" s="183"/>
      <c r="U122" s="183"/>
      <c r="V122" s="183"/>
      <c r="W122" s="183"/>
      <c r="X122" s="183"/>
      <c r="Y122" s="181"/>
      <c r="Z122" s="181"/>
      <c r="AA122" s="181"/>
      <c r="AB122" s="181"/>
      <c r="AC122" s="181"/>
      <c r="AD122" s="181"/>
      <c r="AG122" s="184"/>
    </row>
    <row r="123" spans="16:24" ht="12.75">
      <c r="P123" s="94"/>
      <c r="R123" s="5"/>
      <c r="S123" s="5"/>
      <c r="T123" s="5"/>
      <c r="U123" s="5"/>
      <c r="V123" s="5"/>
      <c r="W123" s="5"/>
      <c r="X123" s="5"/>
    </row>
    <row r="124" spans="16:24" ht="12.75">
      <c r="P124" s="94"/>
      <c r="R124" s="5"/>
      <c r="S124" s="5"/>
      <c r="T124" s="5"/>
      <c r="U124" s="5"/>
      <c r="V124" s="5"/>
      <c r="W124" s="5"/>
      <c r="X124" s="5"/>
    </row>
    <row r="125" ht="12.75">
      <c r="AE125" s="94"/>
    </row>
    <row r="169" ht="12.75"/>
    <row r="170" ht="12.75"/>
    <row r="171" ht="12.75"/>
    <row r="172" ht="12.75"/>
    <row r="173" ht="12.75"/>
    <row r="174" ht="12.75"/>
  </sheetData>
  <sheetProtection/>
  <mergeCells count="35">
    <mergeCell ref="AH6:AH7"/>
    <mergeCell ref="AI6:AI7"/>
    <mergeCell ref="B4:AG4"/>
    <mergeCell ref="L5:L6"/>
    <mergeCell ref="K5:K6"/>
    <mergeCell ref="AE6:AE7"/>
    <mergeCell ref="AF6:AF7"/>
    <mergeCell ref="AD6:AD7"/>
    <mergeCell ref="N5:P6"/>
    <mergeCell ref="C91:C92"/>
    <mergeCell ref="D6:D7"/>
    <mergeCell ref="C66:C68"/>
    <mergeCell ref="AC5:AC6"/>
    <mergeCell ref="AA5:AA6"/>
    <mergeCell ref="AB5:AB6"/>
    <mergeCell ref="M5:M6"/>
    <mergeCell ref="W57:W58"/>
    <mergeCell ref="AC57:AC58"/>
    <mergeCell ref="V5:V6"/>
    <mergeCell ref="AC97:AC99"/>
    <mergeCell ref="X5:X6"/>
    <mergeCell ref="Y5:Y6"/>
    <mergeCell ref="Z5:Z6"/>
    <mergeCell ref="AC70:AC72"/>
    <mergeCell ref="AC73:AC77"/>
    <mergeCell ref="AB111:AB112"/>
    <mergeCell ref="S6:T6"/>
    <mergeCell ref="A5:A6"/>
    <mergeCell ref="C5:C6"/>
    <mergeCell ref="J5:J6"/>
    <mergeCell ref="Q5:Q6"/>
    <mergeCell ref="R5:R6"/>
    <mergeCell ref="S5:T5"/>
    <mergeCell ref="W5:W6"/>
    <mergeCell ref="B6:B7"/>
  </mergeCells>
  <printOptions/>
  <pageMargins left="0.57" right="0.37" top="0.36" bottom="0.7480314960629921" header="0.4" footer="0.31496062992125984"/>
  <pageSetup fitToHeight="13" fitToWidth="1" horizontalDpi="600" verticalDpi="600" orientation="portrait" paperSize="9" scale="3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2017-05-30T08:19:59Z</cp:lastPrinted>
  <dcterms:created xsi:type="dcterms:W3CDTF">2014-01-17T10:52:16Z</dcterms:created>
  <dcterms:modified xsi:type="dcterms:W3CDTF">2017-06-16T12:09:30Z</dcterms:modified>
  <cp:category/>
  <cp:version/>
  <cp:contentType/>
  <cp:contentStatus/>
</cp:coreProperties>
</file>